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825" activeTab="6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definedNames>
    <definedName name="Data_Adr">'Флак'!$J$2:$M$7</definedName>
    <definedName name="data_r_1">'Раздел 1'!$O$20:$P$25</definedName>
    <definedName name="data_r_2">'Раздел 2'!$O$20:$P$31</definedName>
    <definedName name="data_r_3">'Раздел 3'!$O$20:$Q$46</definedName>
    <definedName name="data_r_4">'Раздел 4'!$O$20:$P$25</definedName>
    <definedName name="data_r_5">'Раздел 5'!$O$20:$P$26</definedName>
    <definedName name="data_r_6">'Раздел 6'!$O$20:$S$31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6'!$P$41</definedName>
    <definedName name="R_2">'Раздел 6'!$S$41</definedName>
    <definedName name="R_3">'Раздел 6'!$P$44</definedName>
    <definedName name="R_4">'Раздел 6'!$S$44</definedName>
    <definedName name="razdel_01">'Раздел 1'!$P$20:$P$25</definedName>
    <definedName name="razdel_02">'Раздел 2'!$P$20:$P$31</definedName>
    <definedName name="razdel_03">'Раздел 3'!$P$20:$Q$46</definedName>
    <definedName name="razdel_04">'Раздел 4'!$P$20:$P$25</definedName>
    <definedName name="razdel_05">'Раздел 5'!$P$20:$P$26</definedName>
    <definedName name="razdel_06">'Раздел 6'!$P$20:$S$31</definedName>
    <definedName name="T_Check">'Флак'!$A$2:$H$70</definedName>
    <definedName name="Verificationcheck">'Флак'!$O$3:$P$4</definedName>
    <definedName name="Year">'Титульный лист'!$AO$21</definedName>
  </definedNames>
  <calcPr fullCalcOnLoad="1" refMode="R1C1"/>
</workbook>
</file>

<file path=xl/comments7.xml><?xml version="1.0" encoding="utf-8"?>
<comments xmlns="http://schemas.openxmlformats.org/spreadsheetml/2006/main">
  <authors>
    <author>Alexander</author>
  </authors>
  <commentList>
    <comment ref="S4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<sst xmlns="http://schemas.openxmlformats.org/spreadsheetml/2006/main" count="224" uniqueCount="210">
  <si>
    <t>Наименование показателей</t>
  </si>
  <si>
    <t>Значение</t>
  </si>
  <si>
    <t>Имеется ли у образовательного учреждения собственная бухгалтерия (да – 1, нет – 0)</t>
  </si>
  <si>
    <t>Переведено ли общеобразовательное учреждение на нормативное подушевое финансирование (да – 1, нет – 0)</t>
  </si>
  <si>
    <t>Переведено ли общеобразовательное учреждение на новую (отраслевую) систему оплаты труда, ориентированную на результат (да – 1, нет – 0)</t>
  </si>
  <si>
    <t>№
строки</t>
  </si>
  <si>
    <t>Фактически про-финансировано</t>
  </si>
  <si>
    <t>Код по ОКЕИ: тысяча рублей - 384</t>
  </si>
  <si>
    <t xml:space="preserve">Общий объем просроченной задолженности по исполнению бюджетных обязательств образовательным учреждением </t>
  </si>
  <si>
    <t xml:space="preserve">   из них просроченная задолженность:
      по заработной плате</t>
  </si>
  <si>
    <t xml:space="preserve">      по оплате договоров на приобретение сырья и материалов в целях оказания государственных услуг</t>
  </si>
  <si>
    <t xml:space="preserve">      по оплате коммунальных услуг</t>
  </si>
  <si>
    <t>Среднегодовое число классов и классов-комплектов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</si>
  <si>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</si>
  <si>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</si>
  <si>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</si>
  <si>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</si>
  <si>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</si>
  <si>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Код по ОКЕИ: человек - 792, единица - 642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</si>
  <si>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</si>
  <si>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</si>
  <si>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</si>
  <si>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</si>
  <si>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</si>
  <si>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</si>
  <si>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</si>
  <si>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</si>
  <si>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</si>
  <si>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</si>
  <si>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</si>
  <si>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 ФИНАНСИРОВАНИИ И РАСХОДАХ УЧРЕЖДЕНИЯ, РЕАЛИЗУЮЩЕГО ПРОГРАММЫ ОБЩЕГО ОБРАЗОВАНИЯ</t>
  </si>
  <si>
    <t>Форма № ОШ-2</t>
  </si>
  <si>
    <t>20 февраля</t>
  </si>
  <si>
    <t>Бюджетные расходы</t>
  </si>
  <si>
    <t>Расходы, осущест-вляемые за счет вне-бюджетных источ-ников финанси-рования</t>
  </si>
  <si>
    <t>Среднегодовая численность обучающихся</t>
  </si>
  <si>
    <t xml:space="preserve">   из них:
      дети, занимающиеся в дошкольных группах</t>
  </si>
  <si>
    <t xml:space="preserve">      дети с ограниченными возможностями здоровья, занимающиеся в обычных классах</t>
  </si>
  <si>
    <t>Годовая</t>
  </si>
  <si>
    <t>ВОЗМОЖНО ПРЕДОСТАВЛЕНИЕ В ЭЛЕКТРОННОМ ВИДЕ</t>
  </si>
  <si>
    <t>Раздел 1. Сведения об учреждении</t>
  </si>
  <si>
    <t>Раздел 2. Сведения об источниках получения средств учреждением</t>
  </si>
  <si>
    <t>Раздел 3. Расходы учреждения</t>
  </si>
  <si>
    <t>Раздел 4. Просроченная задолженность по исполнению бюджетных обязательств учреждением</t>
  </si>
  <si>
    <t xml:space="preserve">      по начислениям на выплату по оплате труда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</si>
  <si>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</si>
  <si>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</si>
  <si>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</si>
  <si>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</si>
  <si>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</si>
  <si>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</si>
  <si>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</si>
  <si>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</si>
  <si>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</si>
  <si>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</si>
  <si>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</si>
  <si>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</si>
  <si>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</si>
  <si>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</si>
  <si>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</si>
  <si>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</si>
  <si>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</si>
  <si>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</si>
  <si>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4 строка 01 графа 03 &gt;= Раздел 4 сумма строк 02 + 03 + 04 + 05 графа 03</t>
  </si>
  <si>
    <t>Data_Adr</t>
  </si>
  <si>
    <t>Verificationcheck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</si>
  <si>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</si>
  <si>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</si>
  <si>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</si>
  <si>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</si>
  <si>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</si>
  <si>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</si>
  <si>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</si>
  <si>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</si>
  <si>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</si>
  <si>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</si>
  <si>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</si>
  <si>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</si>
  <si>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</si>
  <si>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</si>
  <si>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</si>
  <si>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</si>
  <si>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юридические лица – образовательные учреждения, реализующие программы общего образования:</t>
  </si>
  <si>
    <t xml:space="preserve">    - органу местного самоуправления, органу исполнительной власти субъекта Российской Федерации,
      федеральному органу исполнительной власти, на которые возложены функции по управлению
      учреждениями, реализующими программы общего образования (по принадлежности)</t>
  </si>
  <si>
    <t>Является ли учреждение автономным (да – 1, нет – 0)</t>
  </si>
  <si>
    <t>Сведения об образовательном учреждении
(1 – учредитель федеральный орган исполнительной власти; 2 – учредитель орган исполнительной власти субъекта Российской Федерации; 3 – учредитель орган местного самоуправления; 4 –негосударственное учреждение)</t>
  </si>
  <si>
    <t xml:space="preserve">      пенсии, пособия и выплаты по пенсионному, социальному и медицинскому страхованию населения</t>
  </si>
  <si>
    <t xml:space="preserve">      пособия по социальной помощи населению</t>
  </si>
  <si>
    <t xml:space="preserve">      пенсии, пособия, выплачиваемые организациями сектора государственного управления</t>
  </si>
  <si>
    <t xml:space="preserve">   Прочие расходы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</si>
  <si>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</si>
  <si>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</si>
  <si>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материальных запасов</t>
  </si>
  <si>
    <t>после отчетного периода</t>
  </si>
  <si>
    <t>Приказ Росстата:
Об утверждении формы
от 14.01.2013  № 12
О внесении изменений
(при наличии)
от  __________ № ___
от  __________ № ___</t>
  </si>
  <si>
    <t>Объем финансирования – всего (сумма строк 02, 06)</t>
  </si>
  <si>
    <t xml:space="preserve">   Бюджетные средства – всего (сумма строк 03–05) 
      в том числе бюджета:</t>
  </si>
  <si>
    <t xml:space="preserve">      федерального</t>
  </si>
  <si>
    <t xml:space="preserve">      субъекта Российской Федерации</t>
  </si>
  <si>
    <t xml:space="preserve">      местного</t>
  </si>
  <si>
    <t xml:space="preserve">   Внебюджетные средства – всего (сумма строк 07-10)</t>
  </si>
  <si>
    <t xml:space="preserve">      в том числе средства:
         организаций</t>
  </si>
  <si>
    <t xml:space="preserve">         населения</t>
  </si>
  <si>
    <t xml:space="preserve">         внебюджетных фондов</t>
  </si>
  <si>
    <t xml:space="preserve">         иностранных источников</t>
  </si>
  <si>
    <t xml:space="preserve">      из строки 06: 
         собственные средства</t>
  </si>
  <si>
    <t>Расходы – всего (сумма строк 02, 06, 13, 17)</t>
  </si>
  <si>
    <t xml:space="preserve">   Оплата труда и начисления на оплату труда (сумма строк 03-05)</t>
  </si>
  <si>
    <t xml:space="preserve">      заработная плата</t>
  </si>
  <si>
    <t xml:space="preserve">      начисления на оплату труда</t>
  </si>
  <si>
    <t xml:space="preserve">      прочие выплаты</t>
  </si>
  <si>
    <t xml:space="preserve">   Приобретение работ, услуг (сумма строк 07-12)</t>
  </si>
  <si>
    <t xml:space="preserve">      услуги связи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</si>
  <si>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</si>
  <si>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</si>
  <si>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</si>
  <si>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услуги по содержанию имущества</t>
  </si>
  <si>
    <t xml:space="preserve">      прочие работы, услуги</t>
  </si>
  <si>
    <t>Поступление нефинансовых активов  (сумма строк 19-22)</t>
  </si>
  <si>
    <t xml:space="preserve">   Социальное обеспечение (сумма строк 14-16)</t>
  </si>
  <si>
    <t xml:space="preserve">   увеличение стоимости непроизведенных активов </t>
  </si>
  <si>
    <t>Получает ли учреждение средства на выполнение государственного задания (да – 1, нет – 0)</t>
  </si>
  <si>
    <r>
      <t>Справка к разделу 3</t>
    </r>
    <r>
      <rPr>
        <sz val="10"/>
        <rFont val="Times New Roman"/>
        <family val="1"/>
      </rPr>
      <t xml:space="preserve">
Остаток внебюджетных средств на начало отчетного периода (тыс  руб)</t>
    </r>
  </si>
  <si>
    <t>Остаток внебюджетных средств на конец отчетного периода (тыс  руб)</t>
  </si>
  <si>
    <t>Расходы на оплату труда и на начисления на оплату труда (из стр.02 гр.3), осуществляемые за счет средств на выполнение государственного задания (тыс  руб)</t>
  </si>
  <si>
    <t xml:space="preserve">      дети с ограниченными возможностями здоровья, занимающиеся в специальных 
      (коррекционных) классах </t>
  </si>
  <si>
    <t xml:space="preserve">   из них специальных (коррекционных) классов и классов-комплектов для детей с
   ограниченными возможностями здоровья</t>
  </si>
  <si>
    <t>Категории персонала</t>
  </si>
  <si>
    <t>Фонд начисленной заработной платы работников</t>
  </si>
  <si>
    <t>Средняя численность работников</t>
  </si>
  <si>
    <t>списочного состава (без внешних совместителей)</t>
  </si>
  <si>
    <t>внешних совместителей</t>
  </si>
  <si>
    <r>
      <t xml:space="preserve">списочного состава (без внешних совместителей) </t>
    </r>
    <r>
      <rPr>
        <vertAlign val="superscript"/>
        <sz val="10"/>
        <rFont val="Times New Roman"/>
        <family val="1"/>
      </rPr>
      <t>1)</t>
    </r>
  </si>
  <si>
    <r>
      <t xml:space="preserve">Внешних совместителей </t>
    </r>
    <r>
      <rPr>
        <vertAlign val="superscript"/>
        <sz val="10"/>
        <rFont val="Times New Roman"/>
        <family val="1"/>
      </rPr>
      <t>2)</t>
    </r>
  </si>
  <si>
    <t>Всего (сумма строк  02, 04, 09, 11)</t>
  </si>
  <si>
    <t xml:space="preserve">   в том числе:
      руководящего персонала </t>
  </si>
  <si>
    <t xml:space="preserve">         из них:
            руководитель (директор) образовательного учреждения</t>
  </si>
  <si>
    <t xml:space="preserve">      педагогических работников</t>
  </si>
  <si>
    <t xml:space="preserve">         из них:
            учителей</t>
  </si>
  <si>
    <t xml:space="preserve">            воспитателей, работающих с дошкольными группами</t>
  </si>
  <si>
    <t xml:space="preserve">            педагогов дополнительного образования</t>
  </si>
  <si>
    <t xml:space="preserve">            педагогического персонала, работающего в классах для детей
            с ограниченными возможностями здоровья</t>
  </si>
  <si>
    <t xml:space="preserve">      учебно-вспомогательного персонала</t>
  </si>
  <si>
    <t xml:space="preserve">      обслуживающего персонала</t>
  </si>
  <si>
    <t xml:space="preserve">         из них учебно-вспомогательного персонала, работающего с
         дошкольными группами</t>
  </si>
  <si>
    <t>6. Сведения о заработной плате работников учреждения</t>
  </si>
  <si>
    <t>Код по ОКЕИ: человек - 792, тысяча рублей – 384</t>
  </si>
  <si>
    <t xml:space="preserve">Должностное лицо, ответственное за предоставление статистической информации </t>
  </si>
  <si>
    <t>1) Показывается среднесписочная численность работников.</t>
  </si>
  <si>
    <t xml:space="preserve">2) Средняя численность внешних совместителей исчисляется пропорционально фактически отработанному времени. </t>
  </si>
  <si>
    <t xml:space="preserve">(лицо,  уполномоченное предоставлять статистическую информацию от  </t>
  </si>
  <si>
    <t xml:space="preserve">имени юридического лица) </t>
  </si>
  <si>
    <t>Раздел 5. Сведения об обучающихся и классах</t>
  </si>
  <si>
    <t>Раздел 2 строка 06 графа 3 = Раздел 2 сумма строк 07 + 08 + 09 + 10 графа 3</t>
  </si>
  <si>
    <t>Раздел 2 строка 06 графа 3 &gt;= Раздел 2 строка 11 графа 3</t>
  </si>
  <si>
    <t>Раздел 3 строка 06 графа 3 = Раздел 3 сумма строк 07 + 08 + 09 + 10 + 11 + 12 графа 3</t>
  </si>
  <si>
    <t>Раздел 3 строка 06 графа 4 = Раздел 3 сумма строк 07 + 08 + 09 + 10 + 11 + 12 графа 4</t>
  </si>
  <si>
    <t>Раздел 2 строка 01 графа 3 = Раздел 2 сумма строк 02 + 06 графа 3</t>
  </si>
  <si>
    <t>Раздел 2 строка 02 графа 3 = Раздел 2 сумма строк 03 + 04 + 05 графа 3</t>
  </si>
  <si>
    <t>Раздел 3 строка 01 графа 3 = Раздел 3 сумма строк 02 + 06 + 13 + 17 графа 3</t>
  </si>
  <si>
    <t>Раздел 3 строка 01 графа 4 = Раздел 3 сумма строк 02 + 06 + 13 + 17 графа 4</t>
  </si>
  <si>
    <t>Раздел 3 строка 02 графа 3 = Раздел 3 сумма строк 03 + 04 + 05 графа 3</t>
  </si>
  <si>
    <t>Раздел 3 строка 02 графа 4 = Раздел 3 сумма строк 03 + 04 + 05 графа 4</t>
  </si>
  <si>
    <t>Раздел 3 строка 13 графа 3 = Раздел 3 сумма строк 14 + 15 + 16 графа 3</t>
  </si>
  <si>
    <t>Раздел 3 строка 13 графа 4 = Раздел 3 сумма строк 14 + 15 + 16 графа 4</t>
  </si>
  <si>
    <t>Раздел 3 строка 18 графа 3 = Раздел 3 сумма строк 19 + 20 + 21 + 22 графа 3</t>
  </si>
  <si>
    <t>Раздел 3 строка 18 графа 4 = Раздел 3 сумма строк 19 + 20 + 21 + 22 графа 4</t>
  </si>
  <si>
    <t>Раздел 3 строка 02 графа 3 &gt;= Раздел 3 строка 26 графа 3</t>
  </si>
  <si>
    <t>ЕСЛИ строка 25 &gt;0, то строка 26 &gt;0 графа 3</t>
  </si>
  <si>
    <t>Раздел 5 строка 01 графа 3 &gt;= Раздел 5 строка 02 графа 3</t>
  </si>
  <si>
    <t>Раздел 5 строка 01 графа 3 &gt;= Раздел 5 строка 03 графа 3</t>
  </si>
  <si>
    <t>Раздел 5 строка 01 графа 3 &gt;= Раздел 5 строка 04 графа 3</t>
  </si>
  <si>
    <t>Раздел 5 строка 05 графа 3 &gt;= Раздел 5 строка 06 графа 3</t>
  </si>
  <si>
    <t>Раздел 6 строка 01 графа 3 = сумме строк 02+04+09+11 графа 3</t>
  </si>
  <si>
    <t>Раздел 6 строка 01 графа 4 = сумме строк 02+04+09+11 графа 4</t>
  </si>
  <si>
    <t>Раздел 6 строка 01 графа 5 = сумме строк 02+04+09+11 графа 5</t>
  </si>
  <si>
    <t>Раздел 6 строка 01 графа 6 = сумме строк 02+04+09+11 графа 6</t>
  </si>
  <si>
    <t>Раздел 3 строка 02 графа 3 + Раздел 3 строка 02 графа 4 &gt;= Раздел 6 строка 01 графа 3 + Раздел 6 строка 01 графа 4</t>
  </si>
  <si>
    <t>Фактическая сумма на конец отчетного года</t>
  </si>
  <si>
    <t>Раздел 6 строка 02 графа 3 &gt;= Раздел 6 строка 03 графа 3</t>
  </si>
  <si>
    <t>Раздел 6 строка 02 графа 4 &gt;= Раздел 6 строка 03 графа 4</t>
  </si>
  <si>
    <t>Раздел 6 строка 02 графа 5 &gt;= Раздел 6 строка 03 графа 5</t>
  </si>
  <si>
    <t>Раздел 6 строка 02 графа 6 &gt;= Раздел 6 строка 03 графа 6</t>
  </si>
  <si>
    <t>Раздел 6 строка 04 графа 3 &gt;= Раздел 6 строка 05 графа 3</t>
  </si>
  <si>
    <t>Раздел 6 строка 04 графа 4 &gt;= Раздел 6 строка 05 графа 4</t>
  </si>
  <si>
    <t>Раздел 6 строка 04 графа 5 &gt;= Раздел 6 строка 05 графа 5</t>
  </si>
  <si>
    <t>Раздел 6 строка 04 графа 6 &gt;= Раздел 6 строка 05 графа 6</t>
  </si>
  <si>
    <t>Раздел 6 строка 04 графа 3 &gt;= Раздел 6 строка 06 графа 3</t>
  </si>
  <si>
    <t>Раздел 6 строка 04 графа 4 &gt;= Раздел 6 строка 06 графа 4</t>
  </si>
  <si>
    <t>Раздел 6 строка 04 графа 5 &gt;= Раздел 6 строка 06 графа 5</t>
  </si>
  <si>
    <t>Раздел 6 строка 04 графа 6 &gt;= Раздел 6 строка 06 графа 6</t>
  </si>
  <si>
    <t>Раздел 6 строка 04 графа 3 &gt;= Раздел 6 строка 07 графа 3</t>
  </si>
  <si>
    <t>Раздел 6 строка 04 графа 4 &gt;= Раздел 6 строка 07 графа 4</t>
  </si>
  <si>
    <t>Раздел 6 строка 04 графа 5 &gt;= Раздел 6 строка 07 графа 5</t>
  </si>
  <si>
    <t>Раздел 6 строка 04 графа 6 &gt;= Раздел 6 строка 07 графа 6</t>
  </si>
  <si>
    <t>Раздел 6 строка 04 графа 3 &gt;= Раздел 6 строка 08 графа 3</t>
  </si>
  <si>
    <t>Раздел 6 строка 04 графа 4 &gt;= Раздел 6 строка 08 графа 4</t>
  </si>
  <si>
    <t>Раздел 6 строка 04 графа 5 &gt;= Раздел 6 строка 08 графа 5</t>
  </si>
  <si>
    <t>Раздел 6 строка 04 графа 6 &gt;= Раздел 6 строка 08 графа 6</t>
  </si>
  <si>
    <t>Раздел 6 строка 09 графа 3 &gt;= Раздел 6 строка 10 графа 3</t>
  </si>
  <si>
    <t>Раздел 6 строка 09 графа 4 &gt;= Раздел 6 строка 10 графа 4</t>
  </si>
  <si>
    <t>Раздел 6 строка 09 графа 5 &gt;= Раздел 6 строка 10 графа 5</t>
  </si>
  <si>
    <t>Раздел 6 строка 09 графа 6 &gt;= Раздел 6 строка 10 графа 6</t>
  </si>
  <si>
    <t>Раздел 2 строка 06 графа 3 + Раздел 3 строка 23 графа 3 - Раздел 3 строка 24 графа 3 = Раздел 3 строка 01 графа 4 + Раздел 3 строка 18 графа 4</t>
  </si>
  <si>
    <t>Раздел 2 строка 06 графа 3 + Раздел 3 строка 23 графа 3 &gt;= Раздел 3 строка 24 графа 3</t>
  </si>
  <si>
    <t>МБОУ "Дарьевская СОШ"</t>
  </si>
  <si>
    <t>сл. Родионово-Несветайская, х. Дарьевка, ул. Центральная, 36 а.</t>
  </si>
  <si>
    <t>Главный бухгалтер</t>
  </si>
  <si>
    <t>8 (863) 40 31-6-94</t>
  </si>
  <si>
    <t>Чивчян Карина Артюшевна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</si>
</sst>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#,##0.0"/>
    <numFmt numFmtId="170" formatCode="\(00\)"/>
    <numFmt numFmtId="171" formatCode="[$-F800]dddd\,\ mmmm\ dd\,\ yyyy"/>
    <numFmt numFmtId="172" formatCode="0000000"/>
    <numFmt numFmtId="173" formatCode="[$-FC19]d\ mmmm\ yyyy\ &quot;г.&quot;"/>
  </numFmts>
  <fonts count="52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6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10" xfId="0" applyFont="1" applyBorder="1" applyAlignment="1">
      <alignment horizontal="left" vertical="top" wrapText="1" indent="2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10" fillId="34" borderId="0" xfId="0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10" fillId="35" borderId="0" xfId="0" applyFont="1" applyFill="1" applyAlignment="1" applyProtection="1">
      <alignment/>
      <protection hidden="1"/>
    </xf>
    <xf numFmtId="0" fontId="0" fillId="36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2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6" fillId="3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168" fontId="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3" fontId="1" fillId="33" borderId="16" xfId="0" applyNumberFormat="1" applyFont="1" applyFill="1" applyBorder="1" applyAlignment="1" applyProtection="1">
      <alignment horizontal="right" wrapText="1"/>
      <protection locked="0"/>
    </xf>
    <xf numFmtId="0" fontId="1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3" fontId="1" fillId="33" borderId="17" xfId="0" applyNumberFormat="1" applyFont="1" applyFill="1" applyBorder="1" applyAlignment="1" applyProtection="1">
      <alignment horizontal="right" wrapText="1"/>
      <protection locked="0"/>
    </xf>
    <xf numFmtId="3" fontId="1" fillId="33" borderId="11" xfId="0" applyNumberFormat="1" applyFont="1" applyFill="1" applyBorder="1" applyAlignment="1" applyProtection="1">
      <alignment horizontal="right" wrapText="1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72" fontId="0" fillId="0" borderId="19" xfId="0" applyNumberFormat="1" applyFont="1" applyBorder="1" applyAlignment="1">
      <alignment horizontal="center" vertical="center"/>
    </xf>
    <xf numFmtId="172" fontId="0" fillId="0" borderId="20" xfId="0" applyNumberFormat="1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6" fillId="33" borderId="28" xfId="0" applyFont="1" applyFill="1" applyBorder="1" applyAlignment="1" applyProtection="1">
      <alignment horizontal="left" vertical="center"/>
      <protection locked="0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4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25" xfId="0" applyNumberFormat="1" applyFont="1" applyBorder="1" applyAlignment="1">
      <alignment horizontal="left" vertical="center" wrapText="1"/>
    </xf>
    <xf numFmtId="0" fontId="6" fillId="0" borderId="32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1" fontId="0" fillId="33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171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CI44"/>
  <sheetViews>
    <sheetView showGridLines="0" zoomScalePageLayoutView="0" workbookViewId="0" topLeftCell="A22">
      <selection activeCell="U38" sqref="U38:AO38"/>
    </sheetView>
  </sheetViews>
  <sheetFormatPr defaultColWidth="9.33203125" defaultRowHeight="12.75"/>
  <cols>
    <col min="1" max="87" width="2" style="16" customWidth="1"/>
    <col min="88" max="16384" width="9.33203125" style="17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ht="13.5" hidden="1" thickBot="1"/>
    <row r="13" spans="1:87" ht="19.5" customHeight="1" thickBot="1">
      <c r="A13" s="18"/>
      <c r="B13" s="19"/>
      <c r="C13" s="19"/>
      <c r="D13" s="19"/>
      <c r="E13" s="19"/>
      <c r="F13" s="19"/>
      <c r="G13" s="20"/>
      <c r="H13" s="107" t="s">
        <v>19</v>
      </c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9"/>
      <c r="BY13" s="20"/>
      <c r="BZ13" s="20"/>
      <c r="CA13" s="19"/>
      <c r="CB13" s="19"/>
      <c r="CC13" s="19"/>
      <c r="CD13" s="19"/>
      <c r="CE13" s="19"/>
      <c r="CF13" s="19"/>
      <c r="CG13" s="19"/>
      <c r="CH13" s="19"/>
      <c r="CI13" s="19"/>
    </row>
    <row r="14" ht="9.75" customHeight="1"/>
    <row r="15" ht="9.75" customHeight="1" thickBot="1"/>
    <row r="16" spans="5:79" ht="39.75" customHeight="1" thickBot="1">
      <c r="E16" s="110" t="s">
        <v>20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2"/>
    </row>
    <row r="17" ht="15" customHeight="1" thickBot="1"/>
    <row r="18" spans="8:76" ht="15" customHeight="1" thickBot="1">
      <c r="H18" s="91" t="s">
        <v>39</v>
      </c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3"/>
    </row>
    <row r="19" ht="19.5" customHeight="1" thickBot="1"/>
    <row r="20" spans="11:73" ht="15" customHeight="1">
      <c r="K20" s="113" t="s">
        <v>30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114"/>
    </row>
    <row r="21" spans="11:73" ht="15" customHeight="1" thickBot="1">
      <c r="K21" s="115" t="s">
        <v>21</v>
      </c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7">
        <v>2012</v>
      </c>
      <c r="AP21" s="117"/>
      <c r="AQ21" s="117"/>
      <c r="AR21" s="118" t="s">
        <v>22</v>
      </c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9"/>
    </row>
    <row r="22" spans="74:82" ht="19.5" customHeight="1" thickBot="1">
      <c r="BV22" s="17"/>
      <c r="BW22" s="17"/>
      <c r="BX22" s="17"/>
      <c r="BY22" s="17"/>
      <c r="BZ22" s="17"/>
      <c r="CA22" s="17"/>
      <c r="CB22" s="17"/>
      <c r="CC22" s="17"/>
      <c r="CD22" s="17"/>
    </row>
    <row r="23" spans="1:84" ht="15.75" customHeight="1" thickBot="1">
      <c r="A23" s="94" t="s">
        <v>23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1" t="s">
        <v>24</v>
      </c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3"/>
      <c r="BP23" s="17"/>
      <c r="BQ23" s="103" t="s">
        <v>31</v>
      </c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5"/>
      <c r="CD23" s="21"/>
      <c r="CE23" s="22"/>
      <c r="CF23" s="17"/>
    </row>
    <row r="24" spans="1:84" ht="12.75">
      <c r="A24" s="96" t="s">
        <v>82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8"/>
      <c r="AZ24" s="74" t="s">
        <v>32</v>
      </c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5"/>
      <c r="BO24" s="106" t="s">
        <v>94</v>
      </c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7"/>
    </row>
    <row r="25" spans="1:84" ht="39.75" customHeight="1">
      <c r="A25" s="99" t="s">
        <v>83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1"/>
      <c r="AZ25" s="76" t="s">
        <v>93</v>
      </c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8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7"/>
    </row>
    <row r="26" spans="1:84" ht="45" customHeight="1" thickBot="1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8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80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7"/>
    </row>
    <row r="27" spans="1:84" ht="15" customHeight="1" thickBot="1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5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2"/>
      <c r="BO27" s="24"/>
      <c r="BP27" s="24"/>
      <c r="BQ27" s="24"/>
      <c r="BR27" s="17"/>
      <c r="BS27" s="91" t="s">
        <v>38</v>
      </c>
      <c r="BT27" s="92"/>
      <c r="BU27" s="92"/>
      <c r="BV27" s="92"/>
      <c r="BW27" s="92"/>
      <c r="BX27" s="92"/>
      <c r="BY27" s="92"/>
      <c r="BZ27" s="92"/>
      <c r="CA27" s="93"/>
      <c r="CB27" s="24"/>
      <c r="CC27" s="24"/>
      <c r="CD27" s="26"/>
      <c r="CE27" s="26"/>
      <c r="CF27" s="17"/>
    </row>
    <row r="28" spans="1:82" ht="19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19"/>
      <c r="BL28" s="25"/>
      <c r="BM28" s="26"/>
      <c r="BN28" s="26"/>
      <c r="BO28" s="26"/>
      <c r="BP28" s="26"/>
      <c r="BQ28" s="23"/>
      <c r="BR28" s="23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26"/>
      <c r="CD28" s="25"/>
    </row>
    <row r="29" spans="1:87" ht="15.75" customHeight="1">
      <c r="A29" s="102" t="s">
        <v>25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9" t="s">
        <v>205</v>
      </c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90"/>
      <c r="CF29" s="12"/>
      <c r="CG29" s="12"/>
      <c r="CH29" s="12"/>
      <c r="CI29" s="12"/>
    </row>
    <row r="30" spans="1:87" ht="15.75" customHeight="1" thickBot="1">
      <c r="A30" s="86" t="s">
        <v>26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8"/>
      <c r="V30" s="88"/>
      <c r="W30" s="88"/>
      <c r="X30" s="89" t="s">
        <v>206</v>
      </c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90"/>
      <c r="CF30" s="12"/>
      <c r="CG30" s="12"/>
      <c r="CH30" s="12"/>
      <c r="CI30" s="12"/>
    </row>
    <row r="31" spans="1:87" ht="15.75" customHeight="1" thickBot="1">
      <c r="A31" s="61" t="s">
        <v>27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2"/>
      <c r="U31" s="64" t="s">
        <v>28</v>
      </c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6"/>
      <c r="CF31" s="12"/>
      <c r="CG31" s="12"/>
      <c r="CH31" s="12"/>
      <c r="CI31" s="12"/>
    </row>
    <row r="32" spans="1:87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7" t="s">
        <v>29</v>
      </c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12"/>
      <c r="CG32" s="12"/>
      <c r="CH32" s="12"/>
      <c r="CI32" s="12"/>
    </row>
    <row r="33" spans="1:87" ht="12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12"/>
      <c r="CG33" s="12"/>
      <c r="CH33" s="12"/>
      <c r="CI33" s="12"/>
    </row>
    <row r="34" spans="1:87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12"/>
      <c r="CG34" s="12"/>
      <c r="CH34" s="12"/>
      <c r="CI34" s="12"/>
    </row>
    <row r="35" spans="1:87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12"/>
      <c r="CG35" s="12"/>
      <c r="CH35" s="12"/>
      <c r="CI35" s="12"/>
    </row>
    <row r="36" spans="1:87" ht="12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12"/>
      <c r="CG36" s="12"/>
      <c r="CH36" s="12"/>
      <c r="CI36" s="12"/>
    </row>
    <row r="37" spans="1:87" ht="13.5" thickBot="1">
      <c r="A37" s="60">
        <v>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>
        <v>2</v>
      </c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>
        <v>3</v>
      </c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>
        <v>4</v>
      </c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12"/>
      <c r="CG37" s="12"/>
      <c r="CH37" s="12"/>
      <c r="CI37" s="12"/>
    </row>
    <row r="38" spans="1:87" ht="15" customHeight="1" thickBot="1">
      <c r="A38" s="68">
        <v>609552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  <c r="U38" s="71">
        <v>27152212</v>
      </c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3"/>
      <c r="AP38" s="71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3"/>
      <c r="BK38" s="71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3"/>
      <c r="CF38" s="12"/>
      <c r="CG38" s="12"/>
      <c r="CH38" s="12"/>
      <c r="CI38" s="12"/>
    </row>
    <row r="40" spans="68:84" ht="12.75"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</row>
    <row r="41" spans="68:84" ht="12.75"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</row>
    <row r="42" spans="68:84" ht="12.75"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</row>
    <row r="43" spans="68:84" ht="12.75"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</row>
    <row r="44" spans="68:84" ht="12.75"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</row>
  </sheetData>
  <sheetProtection password="E2BC" sheet="1" objects="1" scenarios="1" selectLockedCells="1"/>
  <mergeCells count="37">
    <mergeCell ref="BO24:CE26"/>
    <mergeCell ref="AZ23:BM23"/>
    <mergeCell ref="H13:BX13"/>
    <mergeCell ref="E16:CA16"/>
    <mergeCell ref="H18:BX18"/>
    <mergeCell ref="K20:BU20"/>
    <mergeCell ref="K21:AN21"/>
    <mergeCell ref="AO21:AQ21"/>
    <mergeCell ref="AR21:BU21"/>
    <mergeCell ref="A30:W30"/>
    <mergeCell ref="X30:CE30"/>
    <mergeCell ref="BS27:CA27"/>
    <mergeCell ref="A23:AY23"/>
    <mergeCell ref="A24:AY24"/>
    <mergeCell ref="A25:AY25"/>
    <mergeCell ref="A26:AY26"/>
    <mergeCell ref="A29:W29"/>
    <mergeCell ref="X29:CE29"/>
    <mergeCell ref="BQ23:CC23"/>
    <mergeCell ref="A38:T38"/>
    <mergeCell ref="U38:AO38"/>
    <mergeCell ref="AP38:BJ38"/>
    <mergeCell ref="BK38:CE38"/>
    <mergeCell ref="A37:T37"/>
    <mergeCell ref="AZ24:BM24"/>
    <mergeCell ref="AZ25:BM25"/>
    <mergeCell ref="AZ26:BM26"/>
    <mergeCell ref="AZ27:BM27"/>
    <mergeCell ref="A27:AY27"/>
    <mergeCell ref="U37:AO37"/>
    <mergeCell ref="AP37:BJ37"/>
    <mergeCell ref="BK37:CE37"/>
    <mergeCell ref="A31:T36"/>
    <mergeCell ref="U31:CE31"/>
    <mergeCell ref="U32:AO36"/>
    <mergeCell ref="AP32:BJ36"/>
    <mergeCell ref="BK32:CE36"/>
  </mergeCells>
  <dataValidations count="1">
    <dataValidation type="list" allowBlank="1" showInputMessage="1" showErrorMessage="1" errorTitle="Ошибка ввода" error="Выберите значение из списка" sqref="AO21:AQ21">
      <formula1>"2009,2010,2011,2012,2013,2014,2015"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5"/>
  <sheetViews>
    <sheetView showGridLines="0" zoomScalePageLayoutView="0" workbookViewId="0" topLeftCell="A17">
      <selection activeCell="P25" sqref="P25"/>
    </sheetView>
  </sheetViews>
  <sheetFormatPr defaultColWidth="9.33203125" defaultRowHeight="12.75"/>
  <cols>
    <col min="1" max="1" width="109.16015625" style="0" customWidth="1"/>
    <col min="2" max="14" width="4.160156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0" t="s">
        <v>40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1:16" ht="12.7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1</v>
      </c>
    </row>
    <row r="22" spans="1:16" ht="15.75">
      <c r="A22" s="8" t="s">
        <v>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>
        <v>1</v>
      </c>
    </row>
    <row r="23" spans="1:16" ht="25.5">
      <c r="A23" s="8" t="s">
        <v>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>
        <v>1</v>
      </c>
    </row>
    <row r="24" spans="1:16" ht="38.25" customHeight="1">
      <c r="A24" s="8" t="s">
        <v>85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7">
        <v>3</v>
      </c>
    </row>
    <row r="25" spans="1:16" ht="15.75">
      <c r="A25" s="8" t="s">
        <v>84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7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 Выбор значений" prompt="&quot;1&quot; – федеральный орган исполнительной власти&#10;&quot;2&quot; – орган исполнительной власти субъекта РФ&#10;&quot;3&quot; – орган местного самоуправления&#10;&quot;4&quot; – негосударственное учреждение" errorTitle="Ошибка ввода" error="Выберите значение из списка" sqref="P24">
      <formula1>"1,2,3,4"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3 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1"/>
  <sheetViews>
    <sheetView showGridLines="0" zoomScalePageLayoutView="0" workbookViewId="0" topLeftCell="A17">
      <selection activeCell="P29" sqref="P29"/>
    </sheetView>
  </sheetViews>
  <sheetFormatPr defaultColWidth="9.33203125" defaultRowHeight="12.75"/>
  <cols>
    <col min="1" max="1" width="98.16015625" style="0" customWidth="1"/>
    <col min="2" max="14" width="4.660156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2" t="s">
        <v>41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</row>
    <row r="18" spans="1:16" ht="12.75">
      <c r="A18" s="121" t="s">
        <v>7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95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f>P23+P24+P25</f>
        <v>10371</v>
      </c>
    </row>
    <row r="22" spans="1:16" ht="25.5">
      <c r="A22" s="46" t="s">
        <v>96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>
        <v>2</v>
      </c>
      <c r="P22" s="7"/>
    </row>
    <row r="23" spans="1:16" ht="15.75">
      <c r="A23" s="8" t="s">
        <v>97</v>
      </c>
      <c r="B23" s="3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>
        <v>3</v>
      </c>
      <c r="P23" s="7">
        <v>929</v>
      </c>
    </row>
    <row r="24" spans="1:16" ht="15.75">
      <c r="A24" s="8" t="s">
        <v>98</v>
      </c>
      <c r="B24" s="3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v>7279</v>
      </c>
    </row>
    <row r="25" spans="1:16" ht="15.75">
      <c r="A25" s="8" t="s">
        <v>99</v>
      </c>
      <c r="B25" s="3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v>2163</v>
      </c>
    </row>
    <row r="26" spans="1:16" ht="15.75">
      <c r="A26" s="47" t="s">
        <v>100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/>
    </row>
    <row r="27" spans="1:16" ht="25.5">
      <c r="A27" s="48" t="s">
        <v>101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/>
    </row>
    <row r="28" spans="1:16" ht="15.75">
      <c r="A28" s="8" t="s">
        <v>102</v>
      </c>
      <c r="B28" s="3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/>
    </row>
    <row r="29" spans="1:16" ht="15.75">
      <c r="A29" s="8" t="s">
        <v>103</v>
      </c>
      <c r="B29" s="3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/>
    </row>
    <row r="30" spans="1:16" ht="15.75">
      <c r="A30" s="8" t="s">
        <v>104</v>
      </c>
      <c r="B30" s="3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/>
    </row>
    <row r="31" spans="1:16" ht="25.5">
      <c r="A31" s="49" t="s">
        <v>105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4">
        <v>11</v>
      </c>
      <c r="P31" s="7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47"/>
  <sheetViews>
    <sheetView showGridLines="0" zoomScalePageLayoutView="0" workbookViewId="0" topLeftCell="A20">
      <selection activeCell="P28" sqref="P28"/>
    </sheetView>
  </sheetViews>
  <sheetFormatPr defaultColWidth="9.33203125" defaultRowHeight="12.75"/>
  <cols>
    <col min="1" max="1" width="111.33203125" style="0" bestFit="1" customWidth="1"/>
    <col min="2" max="13" width="2.83203125" style="0" hidden="1" customWidth="1"/>
    <col min="14" max="14" width="1.171875" style="0" hidden="1" customWidth="1"/>
    <col min="15" max="15" width="6.83203125" style="0" customWidth="1"/>
    <col min="16" max="16" width="17.83203125" style="0" customWidth="1"/>
    <col min="17" max="17" width="19.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0" t="s">
        <v>42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</row>
    <row r="18" spans="1:17" ht="12.75">
      <c r="A18" s="121" t="s">
        <v>7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1:17" ht="64.5" customHeight="1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8" t="s">
        <v>5</v>
      </c>
      <c r="P19" s="5" t="s">
        <v>33</v>
      </c>
      <c r="Q19" s="5" t="s">
        <v>34</v>
      </c>
    </row>
    <row r="20" spans="1:17" ht="12.75">
      <c r="A20" s="32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</row>
    <row r="21" spans="1:17" ht="15.75">
      <c r="A21" s="8" t="s">
        <v>106</v>
      </c>
      <c r="B21" s="3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f>P22+P26+P33+P37</f>
        <v>8480</v>
      </c>
      <c r="Q21" s="7"/>
    </row>
    <row r="22" spans="1:17" ht="15.75">
      <c r="A22" s="46" t="s">
        <v>107</v>
      </c>
      <c r="B22" s="3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>
        <v>2</v>
      </c>
      <c r="P22" s="7">
        <f>P23+P24+P25</f>
        <v>6673</v>
      </c>
      <c r="Q22" s="7"/>
    </row>
    <row r="23" spans="1:17" ht="15.75">
      <c r="A23" s="8" t="s">
        <v>108</v>
      </c>
      <c r="B23" s="3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>
        <v>3</v>
      </c>
      <c r="P23" s="7">
        <v>5106</v>
      </c>
      <c r="Q23" s="7"/>
    </row>
    <row r="24" spans="1:17" ht="15.75">
      <c r="A24" s="8" t="s">
        <v>109</v>
      </c>
      <c r="B24" s="3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v>1544</v>
      </c>
      <c r="Q24" s="7"/>
    </row>
    <row r="25" spans="1:17" ht="15.75">
      <c r="A25" s="8" t="s">
        <v>110</v>
      </c>
      <c r="B25" s="3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v>23</v>
      </c>
      <c r="Q25" s="7"/>
    </row>
    <row r="26" spans="1:17" ht="15.75">
      <c r="A26" s="50" t="s">
        <v>111</v>
      </c>
      <c r="B26" s="3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>
        <f>P27+P28+P30+P31+P32+P29</f>
        <v>1384</v>
      </c>
      <c r="Q26" s="7"/>
    </row>
    <row r="27" spans="1:17" ht="15.75" customHeight="1">
      <c r="A27" s="8" t="s">
        <v>112</v>
      </c>
      <c r="B27" s="3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>
        <v>45</v>
      </c>
      <c r="Q27" s="7"/>
    </row>
    <row r="28" spans="1:17" ht="15.75" customHeight="1">
      <c r="A28" s="8" t="s">
        <v>113</v>
      </c>
      <c r="B28" s="3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>
        <v>4</v>
      </c>
      <c r="Q28" s="7"/>
    </row>
    <row r="29" spans="1:17" ht="15.75">
      <c r="A29" s="8" t="s">
        <v>114</v>
      </c>
      <c r="B29" s="3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>
        <v>971</v>
      </c>
      <c r="Q29" s="7"/>
    </row>
    <row r="30" spans="1:17" ht="15.75" customHeight="1">
      <c r="A30" s="8" t="s">
        <v>115</v>
      </c>
      <c r="B30" s="3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>
        <v>0</v>
      </c>
      <c r="Q30" s="7"/>
    </row>
    <row r="31" spans="1:17" ht="15.75">
      <c r="A31" s="8" t="s">
        <v>116</v>
      </c>
      <c r="B31" s="3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">
        <v>11</v>
      </c>
      <c r="P31" s="7">
        <v>107</v>
      </c>
      <c r="Q31" s="7"/>
    </row>
    <row r="32" spans="1:17" ht="15.75">
      <c r="A32" s="8" t="s">
        <v>117</v>
      </c>
      <c r="B32" s="3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">
        <v>12</v>
      </c>
      <c r="P32" s="7">
        <v>257</v>
      </c>
      <c r="Q32" s="7"/>
    </row>
    <row r="33" spans="1:17" ht="15.75">
      <c r="A33" s="50" t="s">
        <v>119</v>
      </c>
      <c r="B33" s="3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4">
        <v>13</v>
      </c>
      <c r="P33" s="7">
        <v>0</v>
      </c>
      <c r="Q33" s="7"/>
    </row>
    <row r="34" spans="1:17" ht="15.75">
      <c r="A34" s="8" t="s">
        <v>86</v>
      </c>
      <c r="B34" s="3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">
        <v>14</v>
      </c>
      <c r="P34" s="7">
        <v>0</v>
      </c>
      <c r="Q34" s="7"/>
    </row>
    <row r="35" spans="1:17" ht="15.75">
      <c r="A35" s="8" t="s">
        <v>87</v>
      </c>
      <c r="B35" s="3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4">
        <v>15</v>
      </c>
      <c r="P35" s="7">
        <v>0</v>
      </c>
      <c r="Q35" s="7"/>
    </row>
    <row r="36" spans="1:17" ht="15.75">
      <c r="A36" s="8" t="s">
        <v>88</v>
      </c>
      <c r="B36" s="3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">
        <v>16</v>
      </c>
      <c r="P36" s="7">
        <v>0</v>
      </c>
      <c r="Q36" s="7"/>
    </row>
    <row r="37" spans="1:17" ht="15.75">
      <c r="A37" s="8" t="s">
        <v>89</v>
      </c>
      <c r="B37" s="3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4">
        <v>17</v>
      </c>
      <c r="P37" s="7">
        <v>423</v>
      </c>
      <c r="Q37" s="7"/>
    </row>
    <row r="38" spans="1:17" ht="15.75">
      <c r="A38" s="8" t="s">
        <v>118</v>
      </c>
      <c r="B38" s="3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4">
        <v>18</v>
      </c>
      <c r="P38" s="7">
        <f>P39+P40+P41+P42</f>
        <v>1891</v>
      </c>
      <c r="Q38" s="7"/>
    </row>
    <row r="39" spans="1:17" ht="15.75">
      <c r="A39" s="8" t="s">
        <v>90</v>
      </c>
      <c r="B39" s="3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4">
        <v>19</v>
      </c>
      <c r="P39" s="7">
        <v>1136</v>
      </c>
      <c r="Q39" s="7"/>
    </row>
    <row r="40" spans="1:17" ht="15.75">
      <c r="A40" s="8" t="s">
        <v>91</v>
      </c>
      <c r="B40" s="3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4">
        <v>20</v>
      </c>
      <c r="P40" s="7">
        <v>0</v>
      </c>
      <c r="Q40" s="7"/>
    </row>
    <row r="41" spans="1:17" ht="15.75">
      <c r="A41" s="8" t="s">
        <v>120</v>
      </c>
      <c r="B41" s="3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4">
        <v>21</v>
      </c>
      <c r="P41" s="7">
        <v>0</v>
      </c>
      <c r="Q41" s="7"/>
    </row>
    <row r="42" spans="1:17" ht="15.75">
      <c r="A42" s="8" t="s">
        <v>92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4">
        <v>22</v>
      </c>
      <c r="P42" s="7">
        <v>755</v>
      </c>
      <c r="Q42" s="7"/>
    </row>
    <row r="43" spans="1:16" s="57" customFormat="1" ht="34.5" customHeight="1">
      <c r="A43" s="55" t="s">
        <v>122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2">
        <v>23</v>
      </c>
      <c r="P43" s="54"/>
    </row>
    <row r="44" spans="1:16" ht="15.75">
      <c r="A44" s="51" t="s">
        <v>123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2">
        <v>24</v>
      </c>
      <c r="P44" s="58"/>
    </row>
    <row r="45" spans="1:16" ht="15.75" customHeight="1">
      <c r="A45" s="51" t="s">
        <v>121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2">
        <v>25</v>
      </c>
      <c r="P45" s="59"/>
    </row>
    <row r="46" spans="1:16" ht="25.5">
      <c r="A46" s="51" t="s">
        <v>124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2">
        <v>26</v>
      </c>
      <c r="P46" s="59"/>
    </row>
    <row r="47" spans="1:16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</sheetData>
  <sheetProtection password="E2BC" sheet="1" objects="1" scenarios="1"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46 P21:P44 Q21:Q42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7:Q25"/>
  <sheetViews>
    <sheetView showGridLines="0" zoomScalePageLayoutView="0" workbookViewId="0" topLeftCell="B17">
      <selection activeCell="P21" sqref="P21"/>
    </sheetView>
  </sheetViews>
  <sheetFormatPr defaultColWidth="9.33203125" defaultRowHeight="12.75"/>
  <cols>
    <col min="1" max="1" width="4.83203125" style="0" hidden="1" customWidth="1"/>
    <col min="2" max="2" width="113.16015625" style="0" customWidth="1"/>
    <col min="3" max="13" width="3.16015625" style="0" hidden="1" customWidth="1"/>
    <col min="14" max="14" width="6.832031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2:17" ht="19.5" customHeight="1">
      <c r="B17" s="122" t="s">
        <v>43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6"/>
    </row>
    <row r="18" spans="2:17" ht="12.75">
      <c r="B18" s="121" t="s">
        <v>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0"/>
    </row>
    <row r="19" spans="2:16" ht="39.75" customHeight="1">
      <c r="B19" s="5" t="s">
        <v>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178</v>
      </c>
    </row>
    <row r="20" spans="2:16" ht="12.75">
      <c r="B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2:16" ht="15.75" customHeight="1">
      <c r="B21" s="8" t="s">
        <v>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73</v>
      </c>
    </row>
    <row r="22" spans="2:16" ht="25.5">
      <c r="B22" s="8" t="s">
        <v>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>
        <v>0</v>
      </c>
    </row>
    <row r="23" spans="2:16" ht="15.75">
      <c r="B23" s="8" t="s">
        <v>44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>
        <v>0</v>
      </c>
    </row>
    <row r="24" spans="2:16" ht="15.75">
      <c r="B24" s="8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7">
        <v>73</v>
      </c>
    </row>
    <row r="25" spans="2:16" ht="15.75">
      <c r="B25" s="8" t="s">
        <v>11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7">
        <v>0</v>
      </c>
    </row>
  </sheetData>
  <sheetProtection password="E2BC" sheet="1" objects="1" scenarios="1" selectLockedCells="1"/>
  <mergeCells count="2">
    <mergeCell ref="B17:P17"/>
    <mergeCell ref="B18:P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6"/>
  <sheetViews>
    <sheetView showGridLines="0" zoomScalePageLayoutView="0" workbookViewId="0" topLeftCell="A17">
      <selection activeCell="P25" sqref="P25"/>
    </sheetView>
  </sheetViews>
  <sheetFormatPr defaultColWidth="9.33203125" defaultRowHeight="12.75"/>
  <cols>
    <col min="1" max="1" width="85.66015625" style="0" bestFit="1" customWidth="1"/>
    <col min="2" max="13" width="4.16015625" style="0" hidden="1" customWidth="1"/>
    <col min="14" max="14" width="10.5" style="0" hidden="1" customWidth="1"/>
    <col min="15" max="15" width="7.5" style="0" bestFit="1" customWidth="1"/>
    <col min="16" max="16" width="17.83203125" style="0" customWidth="1"/>
    <col min="17" max="17" width="15.83203125" style="0" customWidth="1"/>
    <col min="18" max="18" width="5.83203125" style="0" customWidth="1"/>
    <col min="19" max="21" width="12.83203125" style="0" customWidth="1"/>
    <col min="22" max="22" width="5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2" t="s">
        <v>152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</row>
    <row r="18" spans="1:16" ht="12.75">
      <c r="A18" s="121" t="s">
        <v>18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</v>
      </c>
    </row>
    <row r="20" spans="1:16" ht="12.75">
      <c r="A20" s="33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3">
        <v>3</v>
      </c>
    </row>
    <row r="21" spans="1:16" ht="15.75">
      <c r="A21" s="8" t="s">
        <v>35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119</v>
      </c>
    </row>
    <row r="22" spans="1:16" ht="25.5">
      <c r="A22" s="8" t="s">
        <v>36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/>
    </row>
    <row r="23" spans="1:16" ht="25.5">
      <c r="A23" s="8" t="s">
        <v>125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/>
    </row>
    <row r="24" spans="1:16" ht="15.75">
      <c r="A24" s="8" t="s">
        <v>37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4">
        <v>4</v>
      </c>
      <c r="P24" s="7"/>
    </row>
    <row r="25" spans="1:16" ht="15.75">
      <c r="A25" s="8" t="s">
        <v>12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4">
        <v>5</v>
      </c>
      <c r="P25" s="7">
        <v>11</v>
      </c>
    </row>
    <row r="26" spans="1:16" ht="25.5">
      <c r="A26" s="9" t="s">
        <v>126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4">
        <v>6</v>
      </c>
      <c r="P26" s="7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showGridLines="0" tabSelected="1" zoomScalePageLayoutView="0" workbookViewId="0" topLeftCell="A16">
      <selection activeCell="R25" sqref="R25"/>
    </sheetView>
  </sheetViews>
  <sheetFormatPr defaultColWidth="9.33203125" defaultRowHeight="12.75"/>
  <cols>
    <col min="1" max="1" width="66.5" style="0" bestFit="1" customWidth="1"/>
    <col min="2" max="14" width="2.16015625" style="0" hidden="1" customWidth="1"/>
    <col min="15" max="15" width="7.5" style="0" bestFit="1" customWidth="1"/>
    <col min="16" max="19" width="17.83203125" style="0" customWidth="1"/>
    <col min="22" max="22" width="5.83203125" style="0" customWidth="1"/>
    <col min="23" max="23" width="15.83203125" style="0" customWidth="1"/>
  </cols>
  <sheetData>
    <row r="1" spans="1:19" ht="12.75" customHeight="1" hidden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12.75" customHeight="1" hidden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12.75" customHeight="1" hidden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ht="12.75" customHeight="1" hidden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5" spans="1:19" ht="12.75" customHeight="1" hidden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</row>
    <row r="6" spans="1:19" ht="12.75" customHeight="1" hidden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</row>
    <row r="7" spans="1:19" ht="12.75" customHeight="1" hidden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</row>
    <row r="8" spans="1:19" ht="12.75" customHeight="1" hidden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</row>
    <row r="9" spans="1:19" ht="12.75" customHeight="1" hidden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</row>
    <row r="10" spans="1:19" ht="12.75" customHeight="1" hidden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</row>
    <row r="11" spans="1:19" ht="12.75" customHeight="1" hidden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</row>
    <row r="12" spans="1:19" ht="12.75" customHeight="1" hidden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</row>
    <row r="13" spans="1:19" ht="12.75" customHeight="1" hidden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</row>
    <row r="14" spans="1:19" ht="12.75" customHeight="1" hidden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</row>
    <row r="15" spans="1:19" ht="12.75" customHeight="1" hidden="1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</row>
    <row r="16" spans="1:19" ht="19.5" customHeight="1">
      <c r="A16" s="120" t="s">
        <v>145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</row>
    <row r="17" spans="1:19" ht="12.75">
      <c r="A17" s="121" t="s">
        <v>146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</row>
    <row r="18" spans="1:19" ht="30" customHeight="1">
      <c r="A18" s="123" t="s">
        <v>127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23" t="s">
        <v>5</v>
      </c>
      <c r="P18" s="123" t="s">
        <v>128</v>
      </c>
      <c r="Q18" s="123"/>
      <c r="R18" s="123" t="s">
        <v>129</v>
      </c>
      <c r="S18" s="123"/>
    </row>
    <row r="19" spans="1:19" ht="63">
      <c r="A19" s="12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23"/>
      <c r="P19" s="5" t="s">
        <v>130</v>
      </c>
      <c r="Q19" s="5" t="s">
        <v>131</v>
      </c>
      <c r="R19" s="5" t="s">
        <v>132</v>
      </c>
      <c r="S19" s="5" t="s">
        <v>133</v>
      </c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8" t="s">
        <v>134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f>P22+P24+P29+P31</f>
        <v>5046</v>
      </c>
      <c r="Q21" s="7">
        <f>Q22+Q24+Q29+Q31</f>
        <v>60</v>
      </c>
      <c r="R21" s="7">
        <f>R22+R24+R29+R31</f>
        <v>31</v>
      </c>
      <c r="S21" s="7">
        <f>S22+S24+S29+S31</f>
        <v>2</v>
      </c>
    </row>
    <row r="22" spans="1:19" ht="25.5">
      <c r="A22" s="9" t="s">
        <v>135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4">
        <v>2</v>
      </c>
      <c r="P22" s="7">
        <v>1263</v>
      </c>
      <c r="Q22" s="7"/>
      <c r="R22" s="7">
        <v>4</v>
      </c>
      <c r="S22" s="7"/>
    </row>
    <row r="23" spans="1:19" ht="38.25">
      <c r="A23" s="9" t="s">
        <v>136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4">
        <v>3</v>
      </c>
      <c r="P23" s="7">
        <v>400</v>
      </c>
      <c r="Q23" s="7"/>
      <c r="R23" s="7">
        <v>1</v>
      </c>
      <c r="S23" s="7"/>
    </row>
    <row r="24" spans="1:19" ht="15.75">
      <c r="A24" s="9" t="s">
        <v>137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f>P25</f>
        <v>2696</v>
      </c>
      <c r="Q24" s="7">
        <f>Q25</f>
        <v>60</v>
      </c>
      <c r="R24" s="7">
        <f>R25</f>
        <v>11</v>
      </c>
      <c r="S24" s="7">
        <f>S25</f>
        <v>2</v>
      </c>
    </row>
    <row r="25" spans="1:19" ht="25.5">
      <c r="A25" s="9" t="s">
        <v>138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v>2696</v>
      </c>
      <c r="Q25" s="7">
        <v>60</v>
      </c>
      <c r="R25" s="7">
        <v>11</v>
      </c>
      <c r="S25" s="7">
        <v>2</v>
      </c>
    </row>
    <row r="26" spans="1:19" ht="25.5">
      <c r="A26" s="9" t="s">
        <v>139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/>
      <c r="Q26" s="7"/>
      <c r="R26" s="7"/>
      <c r="S26" s="7"/>
    </row>
    <row r="27" spans="1:19" ht="15.75">
      <c r="A27" s="9" t="s">
        <v>140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/>
      <c r="Q27" s="7"/>
      <c r="R27" s="7"/>
      <c r="S27" s="7"/>
    </row>
    <row r="28" spans="1:19" ht="38.25">
      <c r="A28" s="9" t="s">
        <v>141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/>
      <c r="Q28" s="7"/>
      <c r="R28" s="7"/>
      <c r="S28" s="7"/>
    </row>
    <row r="29" spans="1:19" ht="15.75">
      <c r="A29" s="9" t="s">
        <v>142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>
        <v>106</v>
      </c>
      <c r="Q29" s="7"/>
      <c r="R29" s="7">
        <v>2</v>
      </c>
      <c r="S29" s="7"/>
    </row>
    <row r="30" spans="1:19" ht="38.25">
      <c r="A30" s="9" t="s">
        <v>144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/>
      <c r="Q30" s="7"/>
      <c r="R30" s="7"/>
      <c r="S30" s="7"/>
    </row>
    <row r="31" spans="1:19" ht="15.75">
      <c r="A31" s="9" t="s">
        <v>143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">
        <v>11</v>
      </c>
      <c r="P31" s="7">
        <v>981</v>
      </c>
      <c r="Q31" s="7"/>
      <c r="R31" s="7">
        <v>14</v>
      </c>
      <c r="S31" s="7"/>
    </row>
    <row r="33" spans="1:19" ht="12.75">
      <c r="A33" s="129" t="s">
        <v>148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</row>
    <row r="34" spans="1:19" ht="12.75">
      <c r="A34" s="129" t="s">
        <v>149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</row>
    <row r="39" spans="1:15" ht="12.75">
      <c r="A39" s="129" t="s">
        <v>147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</row>
    <row r="40" spans="1:15" s="12" customFormat="1" ht="12.75">
      <c r="A40" s="130" t="s">
        <v>150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</row>
    <row r="41" spans="1:23" s="12" customFormat="1" ht="15.75">
      <c r="A41" s="131" t="s">
        <v>151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27" t="s">
        <v>207</v>
      </c>
      <c r="Q41" s="127"/>
      <c r="S41" s="127" t="s">
        <v>209</v>
      </c>
      <c r="T41" s="127"/>
      <c r="U41" s="127"/>
      <c r="W41" s="13"/>
    </row>
    <row r="42" spans="16:23" s="12" customFormat="1" ht="12.75">
      <c r="P42" s="125" t="s">
        <v>13</v>
      </c>
      <c r="Q42" s="125"/>
      <c r="S42" s="125" t="s">
        <v>14</v>
      </c>
      <c r="T42" s="125"/>
      <c r="U42" s="125"/>
      <c r="W42" s="14" t="s">
        <v>15</v>
      </c>
    </row>
    <row r="43" s="12" customFormat="1" ht="12.75"/>
    <row r="44" spans="15:21" s="12" customFormat="1" ht="15.75">
      <c r="O44" s="15"/>
      <c r="P44" s="127" t="s">
        <v>208</v>
      </c>
      <c r="Q44" s="127"/>
      <c r="S44" s="128">
        <v>41338</v>
      </c>
      <c r="T44" s="128"/>
      <c r="U44" s="128"/>
    </row>
    <row r="45" spans="16:21" s="12" customFormat="1" ht="12.75">
      <c r="P45" s="125" t="s">
        <v>16</v>
      </c>
      <c r="Q45" s="125"/>
      <c r="S45" s="126" t="s">
        <v>17</v>
      </c>
      <c r="T45" s="125"/>
      <c r="U45" s="125"/>
    </row>
  </sheetData>
  <sheetProtection password="E2BC" sheet="1" objects="1" scenarios="1" selectLockedCells="1"/>
  <mergeCells count="34">
    <mergeCell ref="A33:S33"/>
    <mergeCell ref="A34:S34"/>
    <mergeCell ref="S42:U42"/>
    <mergeCell ref="A40:O40"/>
    <mergeCell ref="A41:O41"/>
    <mergeCell ref="P41:Q41"/>
    <mergeCell ref="S41:U41"/>
    <mergeCell ref="A39:O39"/>
    <mergeCell ref="A13:S13"/>
    <mergeCell ref="A14:S14"/>
    <mergeCell ref="A15:S15"/>
    <mergeCell ref="A16:S16"/>
    <mergeCell ref="A17:S17"/>
    <mergeCell ref="P45:Q45"/>
    <mergeCell ref="S45:U45"/>
    <mergeCell ref="P44:Q44"/>
    <mergeCell ref="S44:U44"/>
    <mergeCell ref="P42:Q42"/>
    <mergeCell ref="A7:S7"/>
    <mergeCell ref="A8:S8"/>
    <mergeCell ref="A9:S9"/>
    <mergeCell ref="A10:S10"/>
    <mergeCell ref="A11:S11"/>
    <mergeCell ref="A12:S12"/>
    <mergeCell ref="A18:A19"/>
    <mergeCell ref="O18:O19"/>
    <mergeCell ref="P18:Q18"/>
    <mergeCell ref="R18:S18"/>
    <mergeCell ref="A1:S1"/>
    <mergeCell ref="A2:S2"/>
    <mergeCell ref="A3:S3"/>
    <mergeCell ref="A4:S4"/>
    <mergeCell ref="A5:S5"/>
    <mergeCell ref="A6:S6"/>
  </mergeCells>
  <dataValidations count="2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S31">
      <formula1>0</formula1>
      <formula2>999999999999</formula2>
    </dataValidation>
    <dataValidation type="date" allowBlank="1" showInputMessage="1" showErrorMessage="1" sqref="S44:U44">
      <formula1>38718</formula1>
      <formula2>44196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28">
      <selection activeCell="H68" sqref="H68"/>
    </sheetView>
  </sheetViews>
  <sheetFormatPr defaultColWidth="9.33203125" defaultRowHeight="12.75"/>
  <cols>
    <col min="5" max="5" width="81.33203125" style="0" customWidth="1"/>
    <col min="6" max="6" width="13" style="0" customWidth="1"/>
    <col min="8" max="8" width="12" style="0" bestFit="1" customWidth="1"/>
    <col min="10" max="10" width="18" style="0" customWidth="1"/>
    <col min="13" max="13" width="13.66015625" style="0" customWidth="1"/>
    <col min="15" max="15" width="13.83203125" style="0" customWidth="1"/>
  </cols>
  <sheetData>
    <row r="1" spans="1:16" ht="12.75">
      <c r="A1" s="34" t="s">
        <v>45</v>
      </c>
      <c r="B1" s="35"/>
      <c r="C1" s="35"/>
      <c r="D1" s="34"/>
      <c r="E1" s="35"/>
      <c r="F1" s="35"/>
      <c r="G1" s="35"/>
      <c r="H1" s="35"/>
      <c r="J1" s="40" t="s">
        <v>64</v>
      </c>
      <c r="K1" s="40"/>
      <c r="L1" s="41"/>
      <c r="M1" s="41"/>
      <c r="O1" s="40" t="s">
        <v>65</v>
      </c>
      <c r="P1" s="41"/>
    </row>
    <row r="2" spans="1:16" ht="12.75">
      <c r="A2" s="36" t="s">
        <v>46</v>
      </c>
      <c r="B2" s="36" t="s">
        <v>47</v>
      </c>
      <c r="C2" s="36" t="s">
        <v>48</v>
      </c>
      <c r="D2" s="36" t="s">
        <v>49</v>
      </c>
      <c r="E2" s="36" t="s">
        <v>50</v>
      </c>
      <c r="F2" s="36" t="s">
        <v>51</v>
      </c>
      <c r="G2" s="36" t="s">
        <v>52</v>
      </c>
      <c r="H2" s="36" t="s">
        <v>53</v>
      </c>
      <c r="J2" s="42" t="s">
        <v>66</v>
      </c>
      <c r="K2" s="42" t="s">
        <v>67</v>
      </c>
      <c r="L2" s="42" t="s">
        <v>50</v>
      </c>
      <c r="M2" s="42" t="s">
        <v>68</v>
      </c>
      <c r="O2" s="43" t="s">
        <v>69</v>
      </c>
      <c r="P2" s="43" t="s">
        <v>70</v>
      </c>
    </row>
    <row r="3" spans="1:13" ht="12.75">
      <c r="A3" s="37">
        <f>P_3</f>
        <v>609552</v>
      </c>
      <c r="B3" s="37">
        <v>0</v>
      </c>
      <c r="C3" s="37">
        <v>0</v>
      </c>
      <c r="D3" s="37">
        <v>0</v>
      </c>
      <c r="E3" s="37" t="str">
        <f>CONCATENATE("Количество ошибок в документе: ",H3)</f>
        <v>Количество ошибок в документе: 2</v>
      </c>
      <c r="F3" s="37"/>
      <c r="G3" s="37"/>
      <c r="H3" s="38">
        <f>SUM(H4:H11,H12,H17,H30,H32,H37,H66)</f>
        <v>2</v>
      </c>
      <c r="J3" s="12" t="s">
        <v>71</v>
      </c>
      <c r="K3" s="12">
        <v>1</v>
      </c>
      <c r="L3" s="12" t="s">
        <v>72</v>
      </c>
      <c r="M3" s="12" t="s">
        <v>31</v>
      </c>
    </row>
    <row r="4" spans="1:16" ht="12.75">
      <c r="A4">
        <f aca="true" t="shared" si="0" ref="A4:A65">P_3</f>
        <v>609552</v>
      </c>
      <c r="B4" s="12">
        <v>0</v>
      </c>
      <c r="C4" s="12">
        <v>1</v>
      </c>
      <c r="D4" s="12">
        <v>1</v>
      </c>
      <c r="E4" s="12" t="s">
        <v>54</v>
      </c>
      <c r="H4" s="12">
        <f>IF(LEN(P_1)&lt;&gt;0,0,1)</f>
        <v>0</v>
      </c>
      <c r="J4" s="12" t="s">
        <v>73</v>
      </c>
      <c r="K4" s="12">
        <v>2</v>
      </c>
      <c r="L4" s="12" t="s">
        <v>74</v>
      </c>
      <c r="M4" s="12" t="str">
        <f>IF(P_1=0,"Нет данных",P_1)</f>
        <v>МБОУ "Дарьевская СОШ"</v>
      </c>
      <c r="O4" s="44">
        <f ca="1">TODAY()</f>
        <v>41339</v>
      </c>
      <c r="P4">
        <v>0</v>
      </c>
    </row>
    <row r="5" spans="1:13" ht="12.75">
      <c r="A5">
        <f t="shared" si="0"/>
        <v>609552</v>
      </c>
      <c r="B5" s="12">
        <v>0</v>
      </c>
      <c r="C5" s="12">
        <v>2</v>
      </c>
      <c r="D5" s="12">
        <v>2</v>
      </c>
      <c r="E5" s="12" t="s">
        <v>55</v>
      </c>
      <c r="H5" s="12">
        <f>IF(LEN(P_2)&lt;&gt;0,0,1)</f>
        <v>0</v>
      </c>
      <c r="J5" s="12" t="s">
        <v>75</v>
      </c>
      <c r="K5" s="12">
        <v>3</v>
      </c>
      <c r="L5" s="12" t="s">
        <v>76</v>
      </c>
      <c r="M5" s="12" t="str">
        <f>IF(P_2=0,"Нет данных",P_2)</f>
        <v>сл. Родионово-Несветайская, х. Дарьевка, ул. Центральная, 36 а.</v>
      </c>
    </row>
    <row r="6" spans="1:13" ht="12.75">
      <c r="A6">
        <f t="shared" si="0"/>
        <v>609552</v>
      </c>
      <c r="B6" s="12">
        <v>0</v>
      </c>
      <c r="C6" s="12">
        <v>3</v>
      </c>
      <c r="D6" s="12">
        <v>3</v>
      </c>
      <c r="E6" s="12" t="s">
        <v>56</v>
      </c>
      <c r="H6" s="12">
        <f>IF(LEN(P_3)&lt;&gt;0,0,1)</f>
        <v>0</v>
      </c>
      <c r="J6" s="12" t="s">
        <v>77</v>
      </c>
      <c r="K6" s="12">
        <v>4</v>
      </c>
      <c r="L6" s="12" t="s">
        <v>78</v>
      </c>
      <c r="M6" s="12" t="str">
        <f>TEXT(P_3,"0000000")</f>
        <v>0609552</v>
      </c>
    </row>
    <row r="7" spans="1:13" ht="12.75">
      <c r="A7">
        <f t="shared" si="0"/>
        <v>609552</v>
      </c>
      <c r="B7" s="12">
        <v>0</v>
      </c>
      <c r="C7" s="12">
        <v>4</v>
      </c>
      <c r="D7" s="12">
        <v>4</v>
      </c>
      <c r="E7" s="12" t="s">
        <v>57</v>
      </c>
      <c r="H7" s="12">
        <f>IF(LEN(P_4)&lt;&gt;0,0,1)</f>
        <v>0</v>
      </c>
      <c r="J7" s="12" t="s">
        <v>79</v>
      </c>
      <c r="K7" s="12">
        <v>5</v>
      </c>
      <c r="L7" s="12" t="s">
        <v>80</v>
      </c>
      <c r="M7" s="12">
        <f>IF(P_4=0,"Нет данных",P_4)</f>
        <v>27152212</v>
      </c>
    </row>
    <row r="8" spans="1:13" ht="12.75">
      <c r="A8">
        <f t="shared" si="0"/>
        <v>609552</v>
      </c>
      <c r="B8" s="12">
        <v>0</v>
      </c>
      <c r="C8" s="12">
        <v>5</v>
      </c>
      <c r="D8" s="12">
        <v>5</v>
      </c>
      <c r="E8" s="12" t="s">
        <v>58</v>
      </c>
      <c r="H8" s="12">
        <f>IF(LEN(R_1)&lt;&gt;0,0,1)</f>
        <v>0</v>
      </c>
      <c r="J8" s="39" t="s">
        <v>81</v>
      </c>
      <c r="K8" s="45"/>
      <c r="L8" s="45"/>
      <c r="M8" s="45"/>
    </row>
    <row r="9" spans="1:8" ht="12.75">
      <c r="A9">
        <f t="shared" si="0"/>
        <v>609552</v>
      </c>
      <c r="B9" s="12">
        <v>0</v>
      </c>
      <c r="C9" s="12">
        <v>6</v>
      </c>
      <c r="D9" s="12">
        <v>6</v>
      </c>
      <c r="E9" s="12" t="s">
        <v>59</v>
      </c>
      <c r="H9" s="12">
        <f>IF(LEN(R_2)&lt;&gt;0,0,1)</f>
        <v>0</v>
      </c>
    </row>
    <row r="10" spans="1:8" ht="12.75">
      <c r="A10">
        <f t="shared" si="0"/>
        <v>609552</v>
      </c>
      <c r="B10" s="12">
        <v>0</v>
      </c>
      <c r="C10" s="12">
        <v>7</v>
      </c>
      <c r="D10" s="12">
        <v>7</v>
      </c>
      <c r="E10" s="12" t="s">
        <v>60</v>
      </c>
      <c r="H10" s="12">
        <f>IF(LEN(R_3)&lt;&gt;0,0,1)</f>
        <v>0</v>
      </c>
    </row>
    <row r="11" spans="1:8" ht="12.75">
      <c r="A11">
        <f t="shared" si="0"/>
        <v>609552</v>
      </c>
      <c r="B11" s="12">
        <v>0</v>
      </c>
      <c r="C11" s="12">
        <v>8</v>
      </c>
      <c r="D11" s="12">
        <v>8</v>
      </c>
      <c r="E11" s="12" t="s">
        <v>61</v>
      </c>
      <c r="H11" s="12">
        <f>IF(LEN(R_4)&lt;&gt;0,0,1)</f>
        <v>0</v>
      </c>
    </row>
    <row r="12" spans="1:8" ht="12.75">
      <c r="A12" s="37">
        <f>P_3</f>
        <v>609552</v>
      </c>
      <c r="B12" s="37">
        <v>2</v>
      </c>
      <c r="C12" s="37">
        <v>0</v>
      </c>
      <c r="D12" s="37">
        <v>0</v>
      </c>
      <c r="E12" s="37" t="str">
        <f>CONCATENATE("Количество ошибок в разделе 2: ",H12)</f>
        <v>Количество ошибок в разделе 2: 2</v>
      </c>
      <c r="F12" s="37"/>
      <c r="G12" s="37"/>
      <c r="H12" s="37">
        <f>SUM(H13:H16)</f>
        <v>2</v>
      </c>
    </row>
    <row r="13" spans="1:8" ht="12.75">
      <c r="A13">
        <f t="shared" si="0"/>
        <v>609552</v>
      </c>
      <c r="B13" s="12">
        <v>2</v>
      </c>
      <c r="C13" s="12">
        <v>1</v>
      </c>
      <c r="D13" s="12">
        <v>1</v>
      </c>
      <c r="E13" s="12" t="s">
        <v>157</v>
      </c>
      <c r="H13">
        <f>IF('Раздел 2'!P21=SUM('Раздел 2'!P22,'Раздел 2'!P26),0,1)</f>
        <v>1</v>
      </c>
    </row>
    <row r="14" spans="1:8" ht="12.75">
      <c r="A14">
        <f t="shared" si="0"/>
        <v>609552</v>
      </c>
      <c r="B14" s="12">
        <v>2</v>
      </c>
      <c r="C14" s="12">
        <v>1</v>
      </c>
      <c r="D14" s="12">
        <v>2</v>
      </c>
      <c r="E14" s="12" t="s">
        <v>158</v>
      </c>
      <c r="H14">
        <f>IF('Раздел 2'!P22=SUM('Раздел 2'!P23:P25),0,1)</f>
        <v>1</v>
      </c>
    </row>
    <row r="15" spans="1:8" ht="12.75">
      <c r="A15">
        <f t="shared" si="0"/>
        <v>609552</v>
      </c>
      <c r="B15" s="12">
        <v>2</v>
      </c>
      <c r="C15" s="12">
        <v>1</v>
      </c>
      <c r="D15" s="12">
        <v>3</v>
      </c>
      <c r="E15" s="12" t="s">
        <v>153</v>
      </c>
      <c r="H15">
        <f>IF('Раздел 2'!P26=SUM('Раздел 2'!P27:P30),0,1)</f>
        <v>0</v>
      </c>
    </row>
    <row r="16" spans="1:8" ht="12.75">
      <c r="A16">
        <f t="shared" si="0"/>
        <v>609552</v>
      </c>
      <c r="B16" s="12">
        <v>2</v>
      </c>
      <c r="C16" s="12">
        <v>1</v>
      </c>
      <c r="D16" s="12">
        <v>4</v>
      </c>
      <c r="E16" s="12" t="s">
        <v>154</v>
      </c>
      <c r="H16">
        <f>IF('Раздел 2'!P26&gt;='Раздел 2'!P31,0,1)</f>
        <v>0</v>
      </c>
    </row>
    <row r="17" spans="1:8" ht="12.75">
      <c r="A17" s="37">
        <f>P_3</f>
        <v>609552</v>
      </c>
      <c r="B17" s="37">
        <v>3</v>
      </c>
      <c r="C17" s="37">
        <v>0</v>
      </c>
      <c r="D17" s="37">
        <v>0</v>
      </c>
      <c r="E17" s="37" t="str">
        <f>CONCATENATE("Количество ошибок в разделе 3: ",H17)</f>
        <v>Количество ошибок в разделе 3: 0</v>
      </c>
      <c r="F17" s="37"/>
      <c r="G17" s="37"/>
      <c r="H17" s="37">
        <f>SUM(H18:H29)</f>
        <v>0</v>
      </c>
    </row>
    <row r="18" spans="1:8" ht="12.75">
      <c r="A18">
        <f t="shared" si="0"/>
        <v>609552</v>
      </c>
      <c r="B18" s="12">
        <v>3</v>
      </c>
      <c r="C18" s="12">
        <v>1</v>
      </c>
      <c r="D18" s="12">
        <v>1</v>
      </c>
      <c r="E18" s="12" t="s">
        <v>159</v>
      </c>
      <c r="H18">
        <f>IF('Раздел 3'!P21=SUM('Раздел 3'!P22,'Раздел 3'!P26,'Раздел 3'!P33,'Раздел 3'!P37),0,1)</f>
        <v>0</v>
      </c>
    </row>
    <row r="19" spans="1:8" ht="12.75">
      <c r="A19">
        <f t="shared" si="0"/>
        <v>609552</v>
      </c>
      <c r="B19" s="12">
        <v>3</v>
      </c>
      <c r="C19" s="12">
        <v>1</v>
      </c>
      <c r="D19" s="12">
        <v>2</v>
      </c>
      <c r="E19" s="12" t="s">
        <v>160</v>
      </c>
      <c r="H19">
        <f>IF('Раздел 3'!Q21=SUM('Раздел 3'!Q22,'Раздел 3'!Q26,'Раздел 3'!Q33,'Раздел 3'!Q37),0,1)</f>
        <v>0</v>
      </c>
    </row>
    <row r="20" spans="1:8" ht="12.75">
      <c r="A20">
        <f t="shared" si="0"/>
        <v>609552</v>
      </c>
      <c r="B20" s="12">
        <v>3</v>
      </c>
      <c r="C20" s="12">
        <v>2</v>
      </c>
      <c r="D20" s="12">
        <v>3</v>
      </c>
      <c r="E20" s="12" t="s">
        <v>161</v>
      </c>
      <c r="H20">
        <f>IF('Раздел 3'!P22=SUM('Раздел 3'!P23:P25),0,1)</f>
        <v>0</v>
      </c>
    </row>
    <row r="21" spans="1:8" ht="12.75">
      <c r="A21">
        <f t="shared" si="0"/>
        <v>609552</v>
      </c>
      <c r="B21" s="12">
        <v>3</v>
      </c>
      <c r="C21" s="12">
        <v>2</v>
      </c>
      <c r="D21" s="12">
        <v>4</v>
      </c>
      <c r="E21" s="12" t="s">
        <v>162</v>
      </c>
      <c r="H21">
        <f>IF('Раздел 3'!Q22=SUM('Раздел 3'!Q23:Q25),0,1)</f>
        <v>0</v>
      </c>
    </row>
    <row r="22" spans="1:8" ht="12.75">
      <c r="A22">
        <f t="shared" si="0"/>
        <v>609552</v>
      </c>
      <c r="B22" s="12">
        <v>3</v>
      </c>
      <c r="C22" s="12">
        <v>3</v>
      </c>
      <c r="D22" s="12">
        <v>5</v>
      </c>
      <c r="E22" s="12" t="s">
        <v>155</v>
      </c>
      <c r="H22">
        <f>IF('Раздел 3'!P26=SUM('Раздел 3'!P27:P32),0,1)</f>
        <v>0</v>
      </c>
    </row>
    <row r="23" spans="1:8" ht="12.75">
      <c r="A23">
        <f t="shared" si="0"/>
        <v>609552</v>
      </c>
      <c r="B23" s="12">
        <v>3</v>
      </c>
      <c r="C23" s="12">
        <v>3</v>
      </c>
      <c r="D23" s="12">
        <v>6</v>
      </c>
      <c r="E23" s="12" t="s">
        <v>156</v>
      </c>
      <c r="H23">
        <f>IF('Раздел 3'!Q26=SUM('Раздел 3'!Q27:Q32),0,1)</f>
        <v>0</v>
      </c>
    </row>
    <row r="24" spans="1:8" ht="12.75">
      <c r="A24">
        <f t="shared" si="0"/>
        <v>609552</v>
      </c>
      <c r="B24" s="12">
        <v>3</v>
      </c>
      <c r="C24" s="12">
        <v>4</v>
      </c>
      <c r="D24" s="12">
        <v>7</v>
      </c>
      <c r="E24" s="12" t="s">
        <v>163</v>
      </c>
      <c r="H24">
        <f>IF('Раздел 3'!P33=SUM('Раздел 3'!P34:P36),0,1)</f>
        <v>0</v>
      </c>
    </row>
    <row r="25" spans="1:8" ht="12.75">
      <c r="A25">
        <f t="shared" si="0"/>
        <v>609552</v>
      </c>
      <c r="B25" s="12">
        <v>3</v>
      </c>
      <c r="C25" s="12">
        <v>4</v>
      </c>
      <c r="D25" s="12">
        <v>8</v>
      </c>
      <c r="E25" s="12" t="s">
        <v>164</v>
      </c>
      <c r="H25">
        <f>IF('Раздел 3'!Q33=SUM('Раздел 3'!Q34:Q36),0,1)</f>
        <v>0</v>
      </c>
    </row>
    <row r="26" spans="1:8" ht="12.75">
      <c r="A26">
        <f t="shared" si="0"/>
        <v>609552</v>
      </c>
      <c r="B26" s="12">
        <v>3</v>
      </c>
      <c r="C26" s="12">
        <v>5</v>
      </c>
      <c r="D26" s="12">
        <v>9</v>
      </c>
      <c r="E26" s="12" t="s">
        <v>165</v>
      </c>
      <c r="H26">
        <f>IF('Раздел 3'!P38=SUM('Раздел 3'!P39:P42),0,1)</f>
        <v>0</v>
      </c>
    </row>
    <row r="27" spans="1:8" ht="12.75">
      <c r="A27">
        <f t="shared" si="0"/>
        <v>609552</v>
      </c>
      <c r="B27" s="12">
        <v>3</v>
      </c>
      <c r="C27" s="12">
        <v>5</v>
      </c>
      <c r="D27" s="12">
        <v>10</v>
      </c>
      <c r="E27" s="12" t="s">
        <v>166</v>
      </c>
      <c r="H27">
        <f>IF('Раздел 3'!Q38=SUM('Раздел 3'!Q39:Q42),0,1)</f>
        <v>0</v>
      </c>
    </row>
    <row r="28" spans="1:8" ht="12.75">
      <c r="A28">
        <f t="shared" si="0"/>
        <v>609552</v>
      </c>
      <c r="B28" s="12">
        <v>3</v>
      </c>
      <c r="C28" s="12">
        <v>6</v>
      </c>
      <c r="D28" s="12">
        <v>11</v>
      </c>
      <c r="E28" s="12" t="s">
        <v>167</v>
      </c>
      <c r="H28">
        <f>IF('Раздел 3'!P22&gt;='Раздел 3'!P46,0,1)</f>
        <v>0</v>
      </c>
    </row>
    <row r="29" spans="1:8" ht="12.75">
      <c r="A29">
        <f t="shared" si="0"/>
        <v>609552</v>
      </c>
      <c r="B29" s="12">
        <v>3</v>
      </c>
      <c r="C29" s="12">
        <v>6</v>
      </c>
      <c r="D29" s="12">
        <v>12</v>
      </c>
      <c r="E29" s="12" t="s">
        <v>168</v>
      </c>
      <c r="H29">
        <f>IF(OR(AND('Раздел 3'!P45&gt;0,'Раздел 3'!P46&gt;0),AND('Раздел 3'!P45=0,'Раздел 3'!P46=0)),0,1)</f>
        <v>0</v>
      </c>
    </row>
    <row r="30" spans="1:8" ht="12.75">
      <c r="A30" s="37">
        <f>P_3</f>
        <v>609552</v>
      </c>
      <c r="B30" s="37">
        <v>4</v>
      </c>
      <c r="C30" s="37">
        <v>0</v>
      </c>
      <c r="D30" s="37">
        <v>0</v>
      </c>
      <c r="E30" s="37" t="str">
        <f>CONCATENATE("Количество ошибок в разделе 4: ",H30)</f>
        <v>Количество ошибок в разделе 4: 0</v>
      </c>
      <c r="F30" s="37"/>
      <c r="G30" s="37"/>
      <c r="H30" s="37">
        <f>SUM(H31)</f>
        <v>0</v>
      </c>
    </row>
    <row r="31" spans="1:8" ht="12.75">
      <c r="A31">
        <f t="shared" si="0"/>
        <v>609552</v>
      </c>
      <c r="B31" s="12">
        <v>4</v>
      </c>
      <c r="C31" s="12">
        <v>1</v>
      </c>
      <c r="D31" s="12">
        <v>1</v>
      </c>
      <c r="E31" t="s">
        <v>63</v>
      </c>
      <c r="H31">
        <f>IF('Раздел 4'!P21&gt;=SUM('Раздел 4'!P22:P25),0,1)</f>
        <v>0</v>
      </c>
    </row>
    <row r="32" spans="1:8" ht="12.75">
      <c r="A32" s="37">
        <f>P_3</f>
        <v>609552</v>
      </c>
      <c r="B32" s="37">
        <v>5</v>
      </c>
      <c r="C32" s="37">
        <v>0</v>
      </c>
      <c r="D32" s="37">
        <v>0</v>
      </c>
      <c r="E32" s="37" t="str">
        <f>CONCATENATE("Количество ошибок в разделе 5: ",H32)</f>
        <v>Количество ошибок в разделе 5: 0</v>
      </c>
      <c r="F32" s="37"/>
      <c r="G32" s="37"/>
      <c r="H32" s="37">
        <f>SUM(H33:H36)</f>
        <v>0</v>
      </c>
    </row>
    <row r="33" spans="1:8" ht="12.75">
      <c r="A33">
        <f t="shared" si="0"/>
        <v>609552</v>
      </c>
      <c r="B33" s="12">
        <v>5</v>
      </c>
      <c r="C33" s="12">
        <v>1</v>
      </c>
      <c r="D33" s="12">
        <v>1</v>
      </c>
      <c r="E33" t="s">
        <v>169</v>
      </c>
      <c r="H33">
        <f>IF('Раздел 5'!P21&gt;='Раздел 5'!P22,0,1)</f>
        <v>0</v>
      </c>
    </row>
    <row r="34" spans="1:8" ht="12.75">
      <c r="A34">
        <f t="shared" si="0"/>
        <v>609552</v>
      </c>
      <c r="B34" s="12">
        <v>5</v>
      </c>
      <c r="C34" s="12">
        <v>2</v>
      </c>
      <c r="D34" s="12">
        <v>2</v>
      </c>
      <c r="E34" t="s">
        <v>170</v>
      </c>
      <c r="H34">
        <f>IF('Раздел 5'!P21&gt;='Раздел 5'!P23,0,1)</f>
        <v>0</v>
      </c>
    </row>
    <row r="35" spans="1:8" ht="12.75">
      <c r="A35">
        <f t="shared" si="0"/>
        <v>609552</v>
      </c>
      <c r="B35" s="12">
        <v>5</v>
      </c>
      <c r="C35" s="12">
        <v>3</v>
      </c>
      <c r="D35" s="12">
        <v>3</v>
      </c>
      <c r="E35" t="s">
        <v>171</v>
      </c>
      <c r="H35">
        <f>IF('Раздел 5'!P21&gt;='Раздел 5'!P24,0,1)</f>
        <v>0</v>
      </c>
    </row>
    <row r="36" spans="1:8" ht="12.75">
      <c r="A36">
        <f t="shared" si="0"/>
        <v>609552</v>
      </c>
      <c r="B36" s="12">
        <v>5</v>
      </c>
      <c r="C36" s="12">
        <v>4</v>
      </c>
      <c r="D36" s="12">
        <v>4</v>
      </c>
      <c r="E36" t="s">
        <v>172</v>
      </c>
      <c r="H36">
        <f>IF('Раздел 5'!P25&gt;='Раздел 5'!P26,0,1)</f>
        <v>0</v>
      </c>
    </row>
    <row r="37" spans="1:8" ht="12.75">
      <c r="A37" s="37">
        <f>P_3</f>
        <v>609552</v>
      </c>
      <c r="B37" s="37">
        <v>6</v>
      </c>
      <c r="C37" s="37">
        <v>0</v>
      </c>
      <c r="D37" s="37">
        <v>0</v>
      </c>
      <c r="E37" s="37" t="str">
        <f>CONCATENATE("Количество ошибок в разделе 6: ",H37)</f>
        <v>Количество ошибок в разделе 6: 0</v>
      </c>
      <c r="F37" s="37"/>
      <c r="G37" s="37"/>
      <c r="H37" s="37">
        <f>SUM(H38:H65)</f>
        <v>0</v>
      </c>
    </row>
    <row r="38" spans="1:8" ht="12.75">
      <c r="A38">
        <f t="shared" si="0"/>
        <v>609552</v>
      </c>
      <c r="B38" s="12">
        <v>6</v>
      </c>
      <c r="C38" s="12">
        <v>1</v>
      </c>
      <c r="D38" s="12">
        <v>1</v>
      </c>
      <c r="E38" t="s">
        <v>173</v>
      </c>
      <c r="H38">
        <f>IF('Раздел 6'!P21=SUM('Раздел 6'!P22,'Раздел 6'!P24,'Раздел 6'!P29,'Раздел 6'!P31),0,1)</f>
        <v>0</v>
      </c>
    </row>
    <row r="39" spans="1:8" ht="12.75">
      <c r="A39">
        <f t="shared" si="0"/>
        <v>609552</v>
      </c>
      <c r="B39" s="12">
        <v>6</v>
      </c>
      <c r="C39" s="12">
        <v>1</v>
      </c>
      <c r="D39" s="12">
        <v>2</v>
      </c>
      <c r="E39" t="s">
        <v>174</v>
      </c>
      <c r="H39">
        <f>IF('Раздел 6'!Q21=SUM('Раздел 6'!Q22,'Раздел 6'!Q24,'Раздел 6'!Q29,'Раздел 6'!Q31),0,1)</f>
        <v>0</v>
      </c>
    </row>
    <row r="40" spans="1:8" ht="12.75">
      <c r="A40">
        <f t="shared" si="0"/>
        <v>609552</v>
      </c>
      <c r="B40" s="12">
        <v>6</v>
      </c>
      <c r="C40" s="12">
        <v>1</v>
      </c>
      <c r="D40" s="12">
        <v>3</v>
      </c>
      <c r="E40" t="s">
        <v>175</v>
      </c>
      <c r="H40">
        <f>IF('Раздел 6'!R21=SUM('Раздел 6'!R22,'Раздел 6'!R24,'Раздел 6'!R29,'Раздел 6'!R31),0,1)</f>
        <v>0</v>
      </c>
    </row>
    <row r="41" spans="1:8" ht="12.75">
      <c r="A41">
        <f t="shared" si="0"/>
        <v>609552</v>
      </c>
      <c r="B41" s="12">
        <v>6</v>
      </c>
      <c r="C41" s="12">
        <v>1</v>
      </c>
      <c r="D41" s="12">
        <v>4</v>
      </c>
      <c r="E41" t="s">
        <v>176</v>
      </c>
      <c r="H41">
        <f>IF('Раздел 6'!S21=SUM('Раздел 6'!S22,'Раздел 6'!S24,'Раздел 6'!S29,'Раздел 6'!S31),0,1)</f>
        <v>0</v>
      </c>
    </row>
    <row r="42" spans="1:8" ht="12.75">
      <c r="A42">
        <f t="shared" si="0"/>
        <v>609552</v>
      </c>
      <c r="B42" s="12">
        <v>6</v>
      </c>
      <c r="C42" s="12">
        <v>2</v>
      </c>
      <c r="D42" s="12">
        <v>5</v>
      </c>
      <c r="E42" t="s">
        <v>179</v>
      </c>
      <c r="H42">
        <f>IF('Раздел 6'!P22&gt;='Раздел 6'!P23,0,1)</f>
        <v>0</v>
      </c>
    </row>
    <row r="43" spans="1:8" ht="12.75">
      <c r="A43">
        <f t="shared" si="0"/>
        <v>609552</v>
      </c>
      <c r="B43" s="12">
        <v>6</v>
      </c>
      <c r="C43" s="12">
        <v>2</v>
      </c>
      <c r="D43" s="12">
        <v>6</v>
      </c>
      <c r="E43" t="s">
        <v>180</v>
      </c>
      <c r="H43">
        <f>IF('Раздел 6'!Q22&gt;='Раздел 6'!Q23,0,1)</f>
        <v>0</v>
      </c>
    </row>
    <row r="44" spans="1:8" ht="12.75">
      <c r="A44">
        <f t="shared" si="0"/>
        <v>609552</v>
      </c>
      <c r="B44" s="12">
        <v>6</v>
      </c>
      <c r="C44" s="12">
        <v>2</v>
      </c>
      <c r="D44" s="12">
        <v>7</v>
      </c>
      <c r="E44" t="s">
        <v>181</v>
      </c>
      <c r="H44">
        <f>IF('Раздел 6'!R22&gt;='Раздел 6'!R23,0,1)</f>
        <v>0</v>
      </c>
    </row>
    <row r="45" spans="1:8" ht="12.75">
      <c r="A45">
        <f t="shared" si="0"/>
        <v>609552</v>
      </c>
      <c r="B45" s="12">
        <v>6</v>
      </c>
      <c r="C45" s="12">
        <v>2</v>
      </c>
      <c r="D45" s="12">
        <v>8</v>
      </c>
      <c r="E45" t="s">
        <v>182</v>
      </c>
      <c r="H45">
        <f>IF('Раздел 6'!S22&gt;='Раздел 6'!S23,0,1)</f>
        <v>0</v>
      </c>
    </row>
    <row r="46" spans="1:8" ht="12.75">
      <c r="A46">
        <f t="shared" si="0"/>
        <v>609552</v>
      </c>
      <c r="B46" s="12">
        <v>6</v>
      </c>
      <c r="C46" s="12">
        <v>3</v>
      </c>
      <c r="D46" s="12">
        <v>9</v>
      </c>
      <c r="E46" t="s">
        <v>183</v>
      </c>
      <c r="H46">
        <f>IF('Раздел 6'!P24&gt;='Раздел 6'!P25,0,1)</f>
        <v>0</v>
      </c>
    </row>
    <row r="47" spans="1:8" ht="12.75">
      <c r="A47">
        <f t="shared" si="0"/>
        <v>609552</v>
      </c>
      <c r="B47" s="12">
        <v>6</v>
      </c>
      <c r="C47" s="12">
        <v>3</v>
      </c>
      <c r="D47" s="12">
        <v>10</v>
      </c>
      <c r="E47" t="s">
        <v>184</v>
      </c>
      <c r="H47">
        <f>IF('Раздел 6'!Q24&gt;='Раздел 6'!Q25,0,1)</f>
        <v>0</v>
      </c>
    </row>
    <row r="48" spans="1:8" ht="12.75">
      <c r="A48">
        <f t="shared" si="0"/>
        <v>609552</v>
      </c>
      <c r="B48" s="12">
        <v>6</v>
      </c>
      <c r="C48" s="12">
        <v>3</v>
      </c>
      <c r="D48" s="12">
        <v>11</v>
      </c>
      <c r="E48" t="s">
        <v>185</v>
      </c>
      <c r="H48">
        <f>IF('Раздел 6'!R24&gt;='Раздел 6'!R25,0,1)</f>
        <v>0</v>
      </c>
    </row>
    <row r="49" spans="1:8" ht="12.75">
      <c r="A49">
        <f t="shared" si="0"/>
        <v>609552</v>
      </c>
      <c r="B49" s="12">
        <v>6</v>
      </c>
      <c r="C49" s="12">
        <v>3</v>
      </c>
      <c r="D49" s="12">
        <v>12</v>
      </c>
      <c r="E49" t="s">
        <v>186</v>
      </c>
      <c r="H49">
        <f>IF('Раздел 6'!S24&gt;='Раздел 6'!S25,0,1)</f>
        <v>0</v>
      </c>
    </row>
    <row r="50" spans="1:8" ht="12.75">
      <c r="A50">
        <f t="shared" si="0"/>
        <v>609552</v>
      </c>
      <c r="B50" s="12">
        <v>6</v>
      </c>
      <c r="C50" s="12">
        <v>4</v>
      </c>
      <c r="D50" s="12">
        <v>13</v>
      </c>
      <c r="E50" t="s">
        <v>187</v>
      </c>
      <c r="H50">
        <f>IF('Раздел 6'!P24&gt;='Раздел 6'!S26,0,1)</f>
        <v>0</v>
      </c>
    </row>
    <row r="51" spans="1:8" ht="12.75">
      <c r="A51">
        <f t="shared" si="0"/>
        <v>609552</v>
      </c>
      <c r="B51" s="12">
        <v>6</v>
      </c>
      <c r="C51" s="12">
        <v>4</v>
      </c>
      <c r="D51" s="12">
        <v>14</v>
      </c>
      <c r="E51" t="s">
        <v>188</v>
      </c>
      <c r="H51">
        <f>IF('Раздел 6'!Q24&gt;='Раздел 6'!Q26,0,1)</f>
        <v>0</v>
      </c>
    </row>
    <row r="52" spans="1:8" ht="12.75">
      <c r="A52">
        <f t="shared" si="0"/>
        <v>609552</v>
      </c>
      <c r="B52" s="12">
        <v>6</v>
      </c>
      <c r="C52" s="12">
        <v>4</v>
      </c>
      <c r="D52" s="12">
        <v>15</v>
      </c>
      <c r="E52" t="s">
        <v>189</v>
      </c>
      <c r="H52">
        <f>IF('Раздел 6'!R24&gt;='Раздел 6'!R26,0,1)</f>
        <v>0</v>
      </c>
    </row>
    <row r="53" spans="1:8" ht="12.75">
      <c r="A53">
        <f t="shared" si="0"/>
        <v>609552</v>
      </c>
      <c r="B53" s="12">
        <v>6</v>
      </c>
      <c r="C53" s="12">
        <v>4</v>
      </c>
      <c r="D53" s="12">
        <v>16</v>
      </c>
      <c r="E53" t="s">
        <v>190</v>
      </c>
      <c r="H53">
        <f>IF('Раздел 6'!S24&gt;='Раздел 6'!S26,0,1)</f>
        <v>0</v>
      </c>
    </row>
    <row r="54" spans="1:8" ht="12.75">
      <c r="A54">
        <f t="shared" si="0"/>
        <v>609552</v>
      </c>
      <c r="B54" s="12">
        <v>6</v>
      </c>
      <c r="C54" s="12">
        <v>5</v>
      </c>
      <c r="D54" s="12">
        <v>17</v>
      </c>
      <c r="E54" t="s">
        <v>191</v>
      </c>
      <c r="H54">
        <f>IF('Раздел 6'!P24&gt;='Раздел 6'!P27,0,1)</f>
        <v>0</v>
      </c>
    </row>
    <row r="55" spans="1:8" ht="12.75">
      <c r="A55">
        <f t="shared" si="0"/>
        <v>609552</v>
      </c>
      <c r="B55" s="12">
        <v>6</v>
      </c>
      <c r="C55" s="12">
        <v>5</v>
      </c>
      <c r="D55" s="12">
        <v>18</v>
      </c>
      <c r="E55" t="s">
        <v>192</v>
      </c>
      <c r="H55">
        <f>IF('Раздел 6'!Q24&gt;='Раздел 6'!Q27,0,1)</f>
        <v>0</v>
      </c>
    </row>
    <row r="56" spans="1:8" ht="12.75">
      <c r="A56">
        <f t="shared" si="0"/>
        <v>609552</v>
      </c>
      <c r="B56" s="12">
        <v>6</v>
      </c>
      <c r="C56" s="12">
        <v>5</v>
      </c>
      <c r="D56" s="12">
        <v>19</v>
      </c>
      <c r="E56" t="s">
        <v>193</v>
      </c>
      <c r="H56">
        <f>IF('Раздел 6'!R24&gt;='Раздел 6'!R27,0,1)</f>
        <v>0</v>
      </c>
    </row>
    <row r="57" spans="1:8" ht="12.75">
      <c r="A57">
        <f t="shared" si="0"/>
        <v>609552</v>
      </c>
      <c r="B57" s="12">
        <v>6</v>
      </c>
      <c r="C57" s="12">
        <v>5</v>
      </c>
      <c r="D57" s="12">
        <v>20</v>
      </c>
      <c r="E57" t="s">
        <v>194</v>
      </c>
      <c r="H57">
        <f>IF('Раздел 6'!S24&gt;='Раздел 6'!S27,0,1)</f>
        <v>0</v>
      </c>
    </row>
    <row r="58" spans="1:8" ht="12.75">
      <c r="A58">
        <f t="shared" si="0"/>
        <v>609552</v>
      </c>
      <c r="B58" s="12">
        <v>6</v>
      </c>
      <c r="C58" s="12">
        <v>6</v>
      </c>
      <c r="D58" s="12">
        <v>21</v>
      </c>
      <c r="E58" t="s">
        <v>195</v>
      </c>
      <c r="H58">
        <f>IF('Раздел 6'!P24&gt;='Раздел 6'!P28,0,1)</f>
        <v>0</v>
      </c>
    </row>
    <row r="59" spans="1:8" ht="12.75">
      <c r="A59">
        <f t="shared" si="0"/>
        <v>609552</v>
      </c>
      <c r="B59" s="12">
        <v>6</v>
      </c>
      <c r="C59" s="12">
        <v>6</v>
      </c>
      <c r="D59" s="12">
        <v>22</v>
      </c>
      <c r="E59" t="s">
        <v>196</v>
      </c>
      <c r="H59">
        <f>IF('Раздел 6'!Q24&gt;='Раздел 6'!Q28,0,1)</f>
        <v>0</v>
      </c>
    </row>
    <row r="60" spans="1:8" ht="12.75">
      <c r="A60">
        <f t="shared" si="0"/>
        <v>609552</v>
      </c>
      <c r="B60" s="12">
        <v>6</v>
      </c>
      <c r="C60" s="12">
        <v>6</v>
      </c>
      <c r="D60" s="12">
        <v>23</v>
      </c>
      <c r="E60" t="s">
        <v>197</v>
      </c>
      <c r="H60">
        <f>IF('Раздел 6'!R24&gt;='Раздел 6'!R28,0,1)</f>
        <v>0</v>
      </c>
    </row>
    <row r="61" spans="1:8" ht="12.75">
      <c r="A61">
        <f t="shared" si="0"/>
        <v>609552</v>
      </c>
      <c r="B61" s="12">
        <v>6</v>
      </c>
      <c r="C61" s="12">
        <v>6</v>
      </c>
      <c r="D61" s="12">
        <v>24</v>
      </c>
      <c r="E61" t="s">
        <v>198</v>
      </c>
      <c r="H61">
        <f>IF('Раздел 6'!S24&gt;='Раздел 6'!S28,0,1)</f>
        <v>0</v>
      </c>
    </row>
    <row r="62" spans="1:8" ht="12.75">
      <c r="A62">
        <f t="shared" si="0"/>
        <v>609552</v>
      </c>
      <c r="B62" s="12">
        <v>6</v>
      </c>
      <c r="C62" s="12">
        <v>7</v>
      </c>
      <c r="D62" s="12">
        <v>25</v>
      </c>
      <c r="E62" t="s">
        <v>199</v>
      </c>
      <c r="H62">
        <f>IF('Раздел 6'!P29&gt;='Раздел 6'!P30,0,1)</f>
        <v>0</v>
      </c>
    </row>
    <row r="63" spans="1:8" ht="12.75">
      <c r="A63">
        <f t="shared" si="0"/>
        <v>609552</v>
      </c>
      <c r="B63" s="12">
        <v>6</v>
      </c>
      <c r="C63" s="12">
        <v>7</v>
      </c>
      <c r="D63" s="12">
        <v>26</v>
      </c>
      <c r="E63" t="s">
        <v>200</v>
      </c>
      <c r="H63">
        <f>IF('Раздел 6'!Q29&gt;='Раздел 6'!Q30,0,1)</f>
        <v>0</v>
      </c>
    </row>
    <row r="64" spans="1:8" ht="12.75">
      <c r="A64">
        <f t="shared" si="0"/>
        <v>609552</v>
      </c>
      <c r="B64" s="12">
        <v>6</v>
      </c>
      <c r="C64" s="12">
        <v>7</v>
      </c>
      <c r="D64" s="12">
        <v>27</v>
      </c>
      <c r="E64" t="s">
        <v>201</v>
      </c>
      <c r="H64">
        <f>IF('Раздел 6'!R29&gt;='Раздел 6'!R30,0,1)</f>
        <v>0</v>
      </c>
    </row>
    <row r="65" spans="1:8" ht="12.75">
      <c r="A65">
        <f t="shared" si="0"/>
        <v>609552</v>
      </c>
      <c r="B65" s="12">
        <v>6</v>
      </c>
      <c r="C65" s="12">
        <v>7</v>
      </c>
      <c r="D65" s="12">
        <v>28</v>
      </c>
      <c r="E65" t="s">
        <v>202</v>
      </c>
      <c r="H65">
        <f>IF('Раздел 6'!S29&gt;='Раздел 6'!S30,0,1)</f>
        <v>0</v>
      </c>
    </row>
    <row r="66" spans="1:8" ht="12.75">
      <c r="A66" s="37">
        <f>P_3</f>
        <v>609552</v>
      </c>
      <c r="B66" s="37">
        <v>7</v>
      </c>
      <c r="C66" s="37">
        <v>0</v>
      </c>
      <c r="D66" s="37">
        <v>0</v>
      </c>
      <c r="E66" s="37" t="str">
        <f>CONCATENATE("Межраздельный контроль - количество ошибок: ",H66)</f>
        <v>Межраздельный контроль - количество ошибок: 0</v>
      </c>
      <c r="F66" s="37"/>
      <c r="G66" s="37"/>
      <c r="H66" s="38">
        <f>SUM(H67:H69)</f>
        <v>0</v>
      </c>
    </row>
    <row r="67" spans="1:8" ht="12.75">
      <c r="A67">
        <f>P_3</f>
        <v>609552</v>
      </c>
      <c r="B67">
        <v>7</v>
      </c>
      <c r="C67">
        <v>1</v>
      </c>
      <c r="D67">
        <v>1</v>
      </c>
      <c r="E67" t="s">
        <v>203</v>
      </c>
      <c r="H67">
        <f>IF('Раздел 2'!P26+'Раздел 3'!P43-'Раздел 3'!P44=SUM('Раздел 3'!Q21,'Раздел 3'!Q38),0,1)</f>
        <v>0</v>
      </c>
    </row>
    <row r="68" spans="1:8" ht="12.75">
      <c r="A68">
        <f>P_3</f>
        <v>609552</v>
      </c>
      <c r="B68">
        <v>7</v>
      </c>
      <c r="C68">
        <v>2</v>
      </c>
      <c r="D68">
        <v>2</v>
      </c>
      <c r="E68" t="s">
        <v>204</v>
      </c>
      <c r="H68">
        <f>IF('Раздел 2'!P26+'Раздел 3'!P43&gt;='Раздел 3'!P44,0,1)</f>
        <v>0</v>
      </c>
    </row>
    <row r="69" spans="1:8" ht="12.75">
      <c r="A69">
        <f>P_3</f>
        <v>609552</v>
      </c>
      <c r="B69">
        <v>7</v>
      </c>
      <c r="C69">
        <v>3</v>
      </c>
      <c r="D69">
        <v>3</v>
      </c>
      <c r="E69" t="s">
        <v>177</v>
      </c>
      <c r="H69">
        <f>IF(SUM('Раздел 3'!P22:Q22)&gt;=SUM('Раздел 6'!P21:Q21),0,1)</f>
        <v>0</v>
      </c>
    </row>
    <row r="71" ht="12.75">
      <c r="A71" s="39" t="s">
        <v>62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</cp:lastModifiedBy>
  <cp:lastPrinted>2013-02-05T11:52:01Z</cp:lastPrinted>
  <dcterms:created xsi:type="dcterms:W3CDTF">2010-01-22T08:57:42Z</dcterms:created>
  <dcterms:modified xsi:type="dcterms:W3CDTF">2013-03-06T10:12:08Z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9.001.05.42.24.307</vt:lpwstr>
  </property>
</Properties>
</file>